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250" windowHeight="12030" tabRatio="595" activeTab="5"/>
  </bookViews>
  <sheets>
    <sheet name="прилож.3-школы" sheetId="1" r:id="rId1"/>
    <sheet name="прилож.4-школы" sheetId="2" r:id="rId2"/>
    <sheet name="прилож.3-сады" sheetId="5" r:id="rId3"/>
    <sheet name="прилож.4-сады" sheetId="4" r:id="rId4"/>
    <sheet name="прилож.3-ДДТ" sheetId="7" r:id="rId5"/>
    <sheet name="прилож.4-ДДТ" sheetId="8" r:id="rId6"/>
  </sheets>
  <calcPr calcId="162913"/>
</workbook>
</file>

<file path=xl/calcChain.xml><?xml version="1.0" encoding="utf-8"?>
<calcChain xmlns="http://schemas.openxmlformats.org/spreadsheetml/2006/main">
  <c r="N103" i="5" l="1"/>
  <c r="N155" i="5"/>
  <c r="U173" i="5"/>
  <c r="U194" i="5"/>
  <c r="H194" i="5"/>
  <c r="U191" i="5"/>
  <c r="H191" i="5"/>
  <c r="T173" i="5"/>
  <c r="N173" i="5"/>
  <c r="N194" i="5"/>
  <c r="T194" i="5" l="1"/>
  <c r="N191" i="5"/>
  <c r="G194" i="5"/>
  <c r="I195" i="5"/>
  <c r="H195" i="5"/>
  <c r="G195" i="5"/>
  <c r="V194" i="5"/>
  <c r="M194" i="5"/>
  <c r="F194" i="5"/>
  <c r="T193" i="5"/>
  <c r="M193" i="5"/>
  <c r="G191" i="5"/>
  <c r="T191" i="5" s="1"/>
  <c r="I192" i="5"/>
  <c r="H192" i="5"/>
  <c r="G192" i="5"/>
  <c r="V191" i="5"/>
  <c r="M191" i="5"/>
  <c r="F191" i="5"/>
  <c r="T190" i="5"/>
  <c r="M190" i="5"/>
  <c r="U21" i="4"/>
  <c r="AJ20" i="4"/>
  <c r="U20" i="4"/>
  <c r="I172" i="5" l="1"/>
  <c r="H172" i="5"/>
  <c r="G172" i="5"/>
  <c r="H171" i="5"/>
  <c r="U171" i="5" s="1"/>
  <c r="G171" i="5"/>
  <c r="N171" i="5" s="1"/>
  <c r="T171" i="5" s="1"/>
  <c r="V171" i="5"/>
  <c r="M171" i="5"/>
  <c r="F171" i="5"/>
  <c r="N170" i="5"/>
  <c r="T170" i="5" s="1"/>
  <c r="M170" i="5"/>
  <c r="I143" i="5"/>
  <c r="H143" i="5"/>
  <c r="G143" i="5"/>
  <c r="H142" i="5"/>
  <c r="U142" i="5" s="1"/>
  <c r="H139" i="5"/>
  <c r="U139" i="5" s="1"/>
  <c r="M142" i="5" l="1"/>
  <c r="V142" i="5"/>
  <c r="G142" i="5"/>
  <c r="N142" i="5" s="1"/>
  <c r="T142" i="5" s="1"/>
  <c r="F142" i="5"/>
  <c r="T141" i="5"/>
  <c r="I140" i="5"/>
  <c r="H140" i="5"/>
  <c r="G140" i="5"/>
  <c r="N139" i="5"/>
  <c r="G139" i="5"/>
  <c r="V139" i="5"/>
  <c r="M139" i="5"/>
  <c r="F139" i="5"/>
  <c r="T138" i="5"/>
  <c r="AJ19" i="4"/>
  <c r="U19" i="4"/>
  <c r="AJ17" i="4"/>
  <c r="U17" i="4"/>
  <c r="G101" i="5"/>
  <c r="N101" i="5" s="1"/>
  <c r="T101" i="5" s="1"/>
  <c r="I102" i="5"/>
  <c r="H102" i="5"/>
  <c r="G102" i="5"/>
  <c r="V101" i="5"/>
  <c r="M101" i="5"/>
  <c r="H101" i="5"/>
  <c r="U101" i="5" s="1"/>
  <c r="F101" i="5"/>
  <c r="N100" i="5"/>
  <c r="T100" i="5" s="1"/>
  <c r="M100" i="5"/>
  <c r="AJ16" i="4"/>
  <c r="T139" i="5" l="1"/>
  <c r="AJ11" i="4" l="1"/>
  <c r="H25" i="5"/>
  <c r="U25" i="5" s="1"/>
  <c r="U85" i="5"/>
  <c r="G25" i="5" l="1"/>
  <c r="N25" i="5" s="1"/>
  <c r="I26" i="5"/>
  <c r="H26" i="5"/>
  <c r="G26" i="5"/>
  <c r="V25" i="5"/>
  <c r="M25" i="5"/>
  <c r="F25" i="5"/>
  <c r="N24" i="5"/>
  <c r="T24" i="5" s="1"/>
  <c r="M24" i="5"/>
  <c r="X10" i="2"/>
  <c r="T25" i="5" l="1"/>
  <c r="I13" i="7"/>
  <c r="I16" i="7"/>
  <c r="I15" i="7"/>
  <c r="I14" i="7"/>
  <c r="I12" i="7"/>
  <c r="I11" i="7"/>
  <c r="W20" i="4"/>
  <c r="W19" i="4"/>
  <c r="W18" i="4"/>
  <c r="W16" i="4"/>
  <c r="W14" i="4"/>
  <c r="W12" i="4"/>
  <c r="W11" i="4"/>
  <c r="X13" i="2" l="1"/>
  <c r="X12" i="2"/>
  <c r="X11" i="2"/>
  <c r="I37" i="1" l="1"/>
  <c r="K179" i="5" l="1"/>
  <c r="K177" i="5"/>
  <c r="K164" i="5"/>
  <c r="O164" i="5" s="1"/>
  <c r="K163" i="5"/>
  <c r="K162" i="5"/>
  <c r="K158" i="5"/>
  <c r="K151" i="5"/>
  <c r="K150" i="5"/>
  <c r="O108" i="5"/>
  <c r="K114" i="5"/>
  <c r="K113" i="5"/>
  <c r="K112" i="5"/>
  <c r="O112" i="5" s="1"/>
  <c r="K111" i="5"/>
  <c r="O111" i="5" s="1"/>
  <c r="K108" i="5"/>
  <c r="K107" i="5"/>
  <c r="O107" i="5" s="1"/>
  <c r="K63" i="5" l="1"/>
  <c r="K34" i="5" l="1"/>
  <c r="K33" i="5"/>
  <c r="K21" i="5"/>
  <c r="K16" i="5"/>
  <c r="AC19" i="4" l="1"/>
  <c r="AC18" i="4"/>
  <c r="AC14" i="4"/>
  <c r="AC13" i="4"/>
  <c r="AC12" i="4"/>
  <c r="AC11" i="4"/>
  <c r="T20" i="4" l="1"/>
  <c r="V20" i="4"/>
  <c r="T19" i="4"/>
  <c r="V19" i="4"/>
  <c r="T18" i="4"/>
  <c r="V18" i="4"/>
  <c r="T17" i="4"/>
  <c r="V17" i="4"/>
  <c r="T16" i="4"/>
  <c r="Z16" i="4" s="1"/>
  <c r="V16" i="4"/>
  <c r="T15" i="4"/>
  <c r="V15" i="4"/>
  <c r="T14" i="4"/>
  <c r="V14" i="4"/>
  <c r="T13" i="4"/>
  <c r="V13" i="4"/>
  <c r="T12" i="4"/>
  <c r="V12" i="4"/>
  <c r="T11" i="4"/>
  <c r="Z11" i="4" s="1"/>
  <c r="V11" i="4"/>
  <c r="AC20" i="4" l="1"/>
  <c r="AC17" i="4"/>
  <c r="AC16" i="4"/>
  <c r="AC15" i="4"/>
  <c r="U15" i="2"/>
  <c r="T15" i="2"/>
  <c r="V15" i="2"/>
  <c r="U13" i="2"/>
  <c r="T13" i="2"/>
  <c r="V13" i="2"/>
  <c r="U14" i="2"/>
  <c r="T14" i="2"/>
  <c r="V14" i="2"/>
  <c r="V12" i="2"/>
  <c r="T12" i="2"/>
  <c r="U11" i="2"/>
  <c r="T11" i="2"/>
  <c r="U10" i="2"/>
  <c r="T10" i="2"/>
  <c r="L98" i="5" l="1"/>
  <c r="G14" i="5" l="1"/>
  <c r="R241" i="1" l="1"/>
  <c r="Z241" i="1"/>
  <c r="AE241" i="1"/>
  <c r="AE237" i="1"/>
  <c r="Z237" i="1"/>
  <c r="Z231" i="1"/>
  <c r="AE231" i="1"/>
  <c r="AE230" i="1"/>
  <c r="Z230" i="1"/>
  <c r="AE219" i="1" l="1"/>
  <c r="AE218" i="1"/>
  <c r="Z219" i="1"/>
  <c r="Z218" i="1"/>
  <c r="R237" i="1" l="1"/>
  <c r="R231" i="1"/>
  <c r="R230" i="1"/>
  <c r="R226" i="1"/>
  <c r="R219" i="1"/>
  <c r="R218" i="1"/>
  <c r="G60" i="5" l="1"/>
  <c r="G35" i="5"/>
  <c r="L185" i="5" l="1"/>
  <c r="L165" i="5"/>
  <c r="L133" i="5"/>
  <c r="L82" i="5"/>
  <c r="L67" i="5"/>
  <c r="L54" i="5"/>
  <c r="L40" i="5"/>
  <c r="L21" i="5" l="1"/>
  <c r="L15" i="5"/>
  <c r="L16" i="5"/>
  <c r="L17" i="5"/>
  <c r="L18" i="5"/>
  <c r="L19" i="5"/>
  <c r="L20" i="5"/>
  <c r="L14" i="5"/>
  <c r="L22" i="5" l="1"/>
  <c r="G102" i="1" l="1"/>
  <c r="M13" i="7" l="1"/>
  <c r="K13" i="7"/>
  <c r="J13" i="7"/>
  <c r="J11" i="7"/>
  <c r="V13" i="7"/>
  <c r="W13" i="7" s="1"/>
  <c r="V15" i="7"/>
  <c r="V14" i="7"/>
  <c r="V12" i="7"/>
  <c r="V11" i="7"/>
  <c r="W11" i="7" s="1"/>
  <c r="V16" i="7"/>
  <c r="W14" i="7"/>
  <c r="W18" i="7"/>
  <c r="X9" i="7" s="1"/>
  <c r="T18" i="7"/>
  <c r="W15" i="7"/>
  <c r="W16" i="7"/>
  <c r="W12" i="7"/>
  <c r="T11" i="7"/>
  <c r="T13" i="7"/>
  <c r="R17" i="7"/>
  <c r="T16" i="7"/>
  <c r="T15" i="7"/>
  <c r="T14" i="7"/>
  <c r="T12" i="7"/>
  <c r="AJ18" i="4"/>
  <c r="W17" i="4"/>
  <c r="AJ15" i="4"/>
  <c r="W15" i="4"/>
  <c r="AJ14" i="4"/>
  <c r="AJ13" i="4"/>
  <c r="W13" i="4"/>
  <c r="AJ12" i="4"/>
  <c r="X10" i="7" l="1"/>
  <c r="X11" i="7" s="1"/>
  <c r="X17" i="7"/>
  <c r="W17" i="7"/>
  <c r="T17" i="7"/>
  <c r="H130" i="5"/>
  <c r="I130" i="5"/>
  <c r="G130" i="5"/>
  <c r="G117" i="5"/>
  <c r="G133" i="5" s="1"/>
  <c r="I72" i="5"/>
  <c r="H72" i="5"/>
  <c r="I61" i="5"/>
  <c r="H61" i="5"/>
  <c r="G61" i="5"/>
  <c r="I16" i="5"/>
  <c r="H16" i="5"/>
  <c r="I20" i="5"/>
  <c r="H20" i="5"/>
  <c r="G20" i="5"/>
  <c r="I18" i="5"/>
  <c r="H18" i="5"/>
  <c r="G18" i="5"/>
  <c r="I17" i="5"/>
  <c r="H17" i="5"/>
  <c r="G17" i="5"/>
  <c r="I19" i="5"/>
  <c r="H19" i="5"/>
  <c r="G19" i="5"/>
  <c r="I15" i="5"/>
  <c r="H15" i="5"/>
  <c r="I14" i="5"/>
  <c r="H14" i="5"/>
  <c r="S17" i="7" l="1"/>
  <c r="Y18" i="7"/>
  <c r="Z18" i="7" s="1"/>
  <c r="Z20" i="4"/>
  <c r="V17" i="7"/>
  <c r="W19" i="7"/>
  <c r="T19" i="7"/>
  <c r="AH15" i="2"/>
  <c r="AE15" i="2"/>
  <c r="AH13" i="2" l="1"/>
  <c r="AE13" i="2"/>
  <c r="AH14" i="2"/>
  <c r="AE14" i="2"/>
  <c r="AH12" i="2"/>
  <c r="AE12" i="2"/>
  <c r="I38" i="1" l="1"/>
  <c r="I22" i="1"/>
  <c r="H22" i="1"/>
  <c r="G22" i="1"/>
  <c r="I9" i="1"/>
  <c r="H9" i="1"/>
  <c r="G9" i="1"/>
  <c r="O219" i="1" l="1"/>
  <c r="X241" i="1"/>
  <c r="P241" i="1"/>
  <c r="O241" i="1"/>
  <c r="P231" i="1"/>
  <c r="AC230" i="1"/>
  <c r="X230" i="1"/>
  <c r="P230" i="1"/>
  <c r="O230" i="1"/>
  <c r="P219" i="1"/>
  <c r="X219" i="1"/>
  <c r="AC219" i="1"/>
  <c r="P218" i="1"/>
  <c r="I238" i="1"/>
  <c r="H238" i="1"/>
  <c r="H223" i="1"/>
  <c r="G237" i="1"/>
  <c r="G238" i="1"/>
  <c r="I223" i="1" l="1"/>
  <c r="G224" i="1"/>
  <c r="G222" i="1"/>
  <c r="G223" i="1"/>
  <c r="I198" i="1" l="1"/>
  <c r="H198" i="1"/>
  <c r="G198" i="1"/>
  <c r="I186" i="1"/>
  <c r="H186" i="1"/>
  <c r="G186" i="1"/>
  <c r="I173" i="1"/>
  <c r="H173" i="1"/>
  <c r="G176" i="1"/>
  <c r="G178" i="1"/>
  <c r="G173" i="1"/>
  <c r="I144" i="1" l="1"/>
  <c r="H144" i="1"/>
  <c r="G151" i="1"/>
  <c r="G144" i="1"/>
  <c r="I141" i="1"/>
  <c r="H141" i="1"/>
  <c r="I136" i="1"/>
  <c r="H136" i="1"/>
  <c r="I131" i="1"/>
  <c r="H131" i="1"/>
  <c r="G131" i="1"/>
  <c r="G136" i="1"/>
  <c r="G141" i="1"/>
  <c r="I80" i="1"/>
  <c r="H80" i="1"/>
  <c r="I102" i="1"/>
  <c r="H102" i="1"/>
  <c r="I91" i="1"/>
  <c r="H91" i="1"/>
  <c r="G91" i="1"/>
  <c r="P165" i="5"/>
  <c r="AH11" i="2"/>
  <c r="AE11" i="2"/>
  <c r="G66" i="1"/>
  <c r="G62" i="1"/>
  <c r="G73" i="1" s="1"/>
  <c r="I62" i="1"/>
  <c r="H62" i="1"/>
  <c r="G12" i="1"/>
  <c r="I49" i="1"/>
  <c r="H49" i="1"/>
  <c r="G49" i="1"/>
  <c r="P49" i="1" s="1"/>
  <c r="G54" i="1"/>
  <c r="AH10" i="2"/>
  <c r="AE10" i="2"/>
  <c r="H35" i="1"/>
  <c r="H37" i="1" s="1"/>
  <c r="G35" i="1"/>
  <c r="G37" i="1" s="1"/>
  <c r="H25" i="1"/>
  <c r="G25" i="1"/>
  <c r="I19" i="1"/>
  <c r="I14" i="1"/>
  <c r="H19" i="1"/>
  <c r="X14" i="2"/>
  <c r="X15" i="2"/>
  <c r="O63" i="5"/>
  <c r="K180" i="5"/>
  <c r="K178" i="5"/>
  <c r="O178" i="5" s="1"/>
  <c r="K176" i="5"/>
  <c r="K175" i="5"/>
  <c r="O163" i="5"/>
  <c r="K161" i="5"/>
  <c r="O161" i="5" s="1"/>
  <c r="K160" i="5"/>
  <c r="K159" i="5"/>
  <c r="M158" i="5"/>
  <c r="K157" i="5"/>
  <c r="N158" i="5"/>
  <c r="Q158" i="5"/>
  <c r="K152" i="5"/>
  <c r="K148" i="5"/>
  <c r="K147" i="5"/>
  <c r="K149" i="5"/>
  <c r="M147" i="5"/>
  <c r="N147" i="5"/>
  <c r="O147" i="5"/>
  <c r="Q147" i="5"/>
  <c r="K109" i="5"/>
  <c r="O109" i="5" s="1"/>
  <c r="K110" i="5"/>
  <c r="K117" i="5"/>
  <c r="K118" i="5"/>
  <c r="K119" i="5"/>
  <c r="K120" i="5"/>
  <c r="K92" i="5"/>
  <c r="K93" i="5"/>
  <c r="K91" i="5"/>
  <c r="K90" i="5"/>
  <c r="O90" i="5" s="1"/>
  <c r="K89" i="5"/>
  <c r="K75" i="5"/>
  <c r="K76" i="5"/>
  <c r="K74" i="5"/>
  <c r="K73" i="5"/>
  <c r="K72" i="5"/>
  <c r="K71" i="5"/>
  <c r="K64" i="5"/>
  <c r="K62" i="5"/>
  <c r="O62" i="5" s="1"/>
  <c r="K61" i="5"/>
  <c r="K60" i="5"/>
  <c r="K49" i="5"/>
  <c r="K50" i="5"/>
  <c r="K48" i="5"/>
  <c r="K47" i="5"/>
  <c r="O47" i="5" s="1"/>
  <c r="K46" i="5"/>
  <c r="K45" i="5"/>
  <c r="K44" i="5"/>
  <c r="K32" i="5"/>
  <c r="O32" i="5" s="1"/>
  <c r="K36" i="5"/>
  <c r="K35" i="5"/>
  <c r="O16" i="5"/>
  <c r="K17" i="5"/>
  <c r="K18" i="5"/>
  <c r="K19" i="5"/>
  <c r="K20" i="5"/>
  <c r="K15" i="5"/>
  <c r="K14" i="5"/>
  <c r="J83" i="1"/>
  <c r="AD241" i="1"/>
  <c r="Y241" i="1"/>
  <c r="AD231" i="1"/>
  <c r="AD230" i="1"/>
  <c r="Y231" i="1"/>
  <c r="Y230" i="1"/>
  <c r="AD219" i="1"/>
  <c r="AD218" i="1"/>
  <c r="Y219" i="1"/>
  <c r="Y218" i="1"/>
  <c r="I257" i="1"/>
  <c r="H257" i="1"/>
  <c r="G257" i="1"/>
  <c r="F257" i="1"/>
  <c r="E257" i="1"/>
  <c r="I256" i="1"/>
  <c r="H256" i="1"/>
  <c r="F256" i="1"/>
  <c r="E256" i="1"/>
  <c r="F247" i="1"/>
  <c r="E247" i="1"/>
  <c r="AC241" i="1"/>
  <c r="K238" i="1"/>
  <c r="K237" i="1"/>
  <c r="AC231" i="1"/>
  <c r="X231" i="1"/>
  <c r="O231" i="1"/>
  <c r="T147" i="5" l="1"/>
  <c r="U147" i="5" s="1"/>
  <c r="V147" i="5" s="1"/>
  <c r="O158" i="5"/>
  <c r="T158" i="5" s="1"/>
  <c r="U158" i="5" s="1"/>
  <c r="V158" i="5" s="1"/>
  <c r="K226" i="1"/>
  <c r="AC218" i="1"/>
  <c r="X218" i="1"/>
  <c r="O218" i="1"/>
  <c r="P211" i="1" l="1"/>
  <c r="F206" i="1"/>
  <c r="E206" i="1"/>
  <c r="K203" i="1"/>
  <c r="AE188" i="1"/>
  <c r="AD188" i="1"/>
  <c r="Z188" i="1"/>
  <c r="Y188" i="1"/>
  <c r="K188" i="1"/>
  <c r="J188" i="1" s="1"/>
  <c r="I187" i="1"/>
  <c r="I197" i="1" s="1"/>
  <c r="H187" i="1"/>
  <c r="H197" i="1" s="1"/>
  <c r="G187" i="1"/>
  <c r="G197" i="1" s="1"/>
  <c r="F187" i="1"/>
  <c r="E187" i="1"/>
  <c r="R188" i="1"/>
  <c r="P188" i="1"/>
  <c r="K199" i="1"/>
  <c r="K198" i="1"/>
  <c r="K194" i="1"/>
  <c r="K187" i="1"/>
  <c r="K186" i="1"/>
  <c r="K182" i="1"/>
  <c r="K173" i="1"/>
  <c r="I168" i="1"/>
  <c r="H168" i="1"/>
  <c r="F168" i="1"/>
  <c r="E168" i="1"/>
  <c r="I161" i="1"/>
  <c r="H161" i="1"/>
  <c r="G161" i="1"/>
  <c r="F161" i="1"/>
  <c r="E161" i="1"/>
  <c r="K158" i="1"/>
  <c r="K155" i="1"/>
  <c r="K152" i="1"/>
  <c r="K145" i="1"/>
  <c r="K144" i="1"/>
  <c r="K141" i="1"/>
  <c r="K131" i="1"/>
  <c r="I83" i="1"/>
  <c r="H83" i="1"/>
  <c r="G83" i="1"/>
  <c r="F83" i="1"/>
  <c r="E83" i="1"/>
  <c r="I42" i="1"/>
  <c r="H42" i="1"/>
  <c r="F42" i="1"/>
  <c r="E42" i="1"/>
  <c r="I124" i="1"/>
  <c r="H124" i="1"/>
  <c r="F124" i="1"/>
  <c r="E124" i="1"/>
  <c r="I123" i="1"/>
  <c r="H123" i="1"/>
  <c r="F123" i="1"/>
  <c r="E123" i="1"/>
  <c r="F120" i="1"/>
  <c r="E120" i="1"/>
  <c r="K117" i="1"/>
  <c r="K112" i="1"/>
  <c r="K109" i="1"/>
  <c r="K103" i="1"/>
  <c r="K102" i="1"/>
  <c r="K99" i="1"/>
  <c r="K91" i="1"/>
  <c r="F81" i="1"/>
  <c r="F80" i="1"/>
  <c r="E80" i="1"/>
  <c r="K77" i="1"/>
  <c r="K74" i="1"/>
  <c r="K71" i="1"/>
  <c r="K63" i="1"/>
  <c r="K62" i="1"/>
  <c r="K59" i="1"/>
  <c r="K49" i="1"/>
  <c r="F38" i="1"/>
  <c r="E38" i="1"/>
  <c r="K35" i="1"/>
  <c r="K34" i="1"/>
  <c r="K31" i="1"/>
  <c r="K28" i="1"/>
  <c r="K22" i="1"/>
  <c r="K19" i="1"/>
  <c r="K9" i="1"/>
  <c r="AC188" i="1" l="1"/>
  <c r="X188" i="1"/>
  <c r="W188" i="1" s="1"/>
  <c r="T188" i="1" s="1"/>
  <c r="AB188" i="1"/>
  <c r="U188" i="1" s="1"/>
  <c r="O188" i="1"/>
  <c r="N188" i="1" s="1"/>
  <c r="J152" i="5"/>
  <c r="J60" i="5"/>
  <c r="J62" i="5"/>
  <c r="J64" i="5"/>
  <c r="J61" i="5"/>
  <c r="M188" i="5" l="1"/>
  <c r="M187" i="5"/>
  <c r="I189" i="5"/>
  <c r="H189" i="5"/>
  <c r="G189" i="5"/>
  <c r="G188" i="5"/>
  <c r="N188" i="5" s="1"/>
  <c r="M167" i="5"/>
  <c r="N167" i="5"/>
  <c r="M168" i="5"/>
  <c r="I169" i="5"/>
  <c r="H169" i="5"/>
  <c r="G169" i="5"/>
  <c r="G168" i="5"/>
  <c r="N168" i="5" s="1"/>
  <c r="M85" i="5"/>
  <c r="N84" i="5"/>
  <c r="M84" i="5"/>
  <c r="I86" i="5"/>
  <c r="H86" i="5"/>
  <c r="G86" i="5"/>
  <c r="G85" i="5"/>
  <c r="N85" i="5" s="1"/>
  <c r="M136" i="5"/>
  <c r="G137" i="5"/>
  <c r="I135" i="5"/>
  <c r="I137" i="5" s="1"/>
  <c r="H135" i="5"/>
  <c r="H137" i="5" s="1"/>
  <c r="G136" i="5"/>
  <c r="N136" i="5" s="1"/>
  <c r="I79" i="5" l="1"/>
  <c r="H79" i="5"/>
  <c r="G79" i="5"/>
  <c r="I78" i="5"/>
  <c r="H78" i="5"/>
  <c r="G78" i="5"/>
  <c r="U214" i="1" l="1"/>
  <c r="AE199" i="1"/>
  <c r="AD199" i="1"/>
  <c r="AC199" i="1"/>
  <c r="Z199" i="1"/>
  <c r="Y199" i="1"/>
  <c r="X199" i="1"/>
  <c r="AE187" i="1"/>
  <c r="AD187" i="1"/>
  <c r="AC187" i="1"/>
  <c r="Z187" i="1"/>
  <c r="Y187" i="1"/>
  <c r="X187" i="1"/>
  <c r="W187" i="1" s="1"/>
  <c r="T187" i="1" s="1"/>
  <c r="P187" i="1"/>
  <c r="AE182" i="1"/>
  <c r="AD182" i="1"/>
  <c r="AC182" i="1"/>
  <c r="Z182" i="1"/>
  <c r="Y182" i="1"/>
  <c r="X182" i="1"/>
  <c r="P182" i="1"/>
  <c r="U168" i="1"/>
  <c r="T168" i="1"/>
  <c r="AE155" i="1"/>
  <c r="AD155" i="1"/>
  <c r="AC155" i="1"/>
  <c r="AE152" i="1"/>
  <c r="AD152" i="1"/>
  <c r="AC152" i="1"/>
  <c r="Z152" i="1"/>
  <c r="Y152" i="1"/>
  <c r="X152" i="1"/>
  <c r="P152" i="1"/>
  <c r="AE145" i="1"/>
  <c r="AD145" i="1"/>
  <c r="AC145" i="1"/>
  <c r="Z145" i="1"/>
  <c r="Y145" i="1"/>
  <c r="X145" i="1"/>
  <c r="W145" i="1" s="1"/>
  <c r="T145" i="1" s="1"/>
  <c r="P145" i="1"/>
  <c r="P144" i="1"/>
  <c r="AC131" i="1"/>
  <c r="AD131" i="1"/>
  <c r="AE131" i="1"/>
  <c r="P131" i="1"/>
  <c r="U124" i="1"/>
  <c r="T124" i="1"/>
  <c r="U123" i="1"/>
  <c r="T123" i="1"/>
  <c r="AE117" i="1"/>
  <c r="AD117" i="1"/>
  <c r="AC117" i="1"/>
  <c r="Z117" i="1"/>
  <c r="Y117" i="1"/>
  <c r="X117" i="1"/>
  <c r="W117" i="1" s="1"/>
  <c r="T117" i="1" s="1"/>
  <c r="P112" i="1"/>
  <c r="AE109" i="1"/>
  <c r="AD109" i="1"/>
  <c r="AC109" i="1"/>
  <c r="Z109" i="1"/>
  <c r="Y109" i="1"/>
  <c r="X109" i="1"/>
  <c r="P109" i="1"/>
  <c r="P83" i="1"/>
  <c r="AE77" i="1"/>
  <c r="AD77" i="1"/>
  <c r="AC77" i="1"/>
  <c r="Z77" i="1"/>
  <c r="Y77" i="1"/>
  <c r="W77" i="1" s="1"/>
  <c r="T77" i="1" s="1"/>
  <c r="X77" i="1"/>
  <c r="AE74" i="1"/>
  <c r="AD74" i="1"/>
  <c r="AC74" i="1"/>
  <c r="Z74" i="1"/>
  <c r="Y74" i="1"/>
  <c r="X74" i="1"/>
  <c r="P74" i="1"/>
  <c r="AE71" i="1"/>
  <c r="AD71" i="1"/>
  <c r="AC71" i="1"/>
  <c r="Z71" i="1"/>
  <c r="Y71" i="1"/>
  <c r="X71" i="1"/>
  <c r="U69" i="1"/>
  <c r="T69" i="1"/>
  <c r="O69" i="1"/>
  <c r="N69" i="1" s="1"/>
  <c r="AE63" i="1"/>
  <c r="AD63" i="1"/>
  <c r="AC63" i="1"/>
  <c r="Z63" i="1"/>
  <c r="Y63" i="1"/>
  <c r="X63" i="1"/>
  <c r="AE59" i="1"/>
  <c r="AD59" i="1"/>
  <c r="AC59" i="1"/>
  <c r="Z59" i="1"/>
  <c r="Y59" i="1"/>
  <c r="X59" i="1"/>
  <c r="U42" i="1"/>
  <c r="T42" i="1"/>
  <c r="U41" i="1"/>
  <c r="T41" i="1"/>
  <c r="P35" i="1"/>
  <c r="AE34" i="1"/>
  <c r="AD34" i="1"/>
  <c r="AC34" i="1"/>
  <c r="Z34" i="1"/>
  <c r="Y34" i="1"/>
  <c r="X34" i="1"/>
  <c r="W34" i="1" s="1"/>
  <c r="T34" i="1" s="1"/>
  <c r="P34" i="1"/>
  <c r="P31" i="1"/>
  <c r="P28" i="1"/>
  <c r="P19" i="1"/>
  <c r="W109" i="1" l="1"/>
  <c r="T109" i="1" s="1"/>
  <c r="W59" i="1"/>
  <c r="T59" i="1" s="1"/>
  <c r="AB145" i="1"/>
  <c r="U145" i="1" s="1"/>
  <c r="AB187" i="1"/>
  <c r="U187" i="1" s="1"/>
  <c r="W74" i="1"/>
  <c r="T74" i="1" s="1"/>
  <c r="W152" i="1"/>
  <c r="T152" i="1" s="1"/>
  <c r="AB34" i="1"/>
  <c r="U34" i="1" s="1"/>
  <c r="AB59" i="1"/>
  <c r="U59" i="1" s="1"/>
  <c r="W63" i="1"/>
  <c r="T63" i="1" s="1"/>
  <c r="AB71" i="1"/>
  <c r="U71" i="1" s="1"/>
  <c r="AB77" i="1"/>
  <c r="U77" i="1" s="1"/>
  <c r="W199" i="1"/>
  <c r="T199" i="1" s="1"/>
  <c r="AB199" i="1"/>
  <c r="U199" i="1" s="1"/>
  <c r="W182" i="1"/>
  <c r="T182" i="1" s="1"/>
  <c r="AB182" i="1"/>
  <c r="U182" i="1" s="1"/>
  <c r="AB155" i="1"/>
  <c r="U155" i="1" s="1"/>
  <c r="AB152" i="1"/>
  <c r="U152" i="1" s="1"/>
  <c r="AB131" i="1"/>
  <c r="U131" i="1" s="1"/>
  <c r="AB117" i="1"/>
  <c r="U117" i="1" s="1"/>
  <c r="AB109" i="1"/>
  <c r="U109" i="1" s="1"/>
  <c r="AB74" i="1"/>
  <c r="U74" i="1" s="1"/>
  <c r="W71" i="1"/>
  <c r="T71" i="1" s="1"/>
  <c r="AB63" i="1"/>
  <c r="U63" i="1" s="1"/>
  <c r="U244" i="1"/>
  <c r="U243" i="1"/>
  <c r="T244" i="1"/>
  <c r="T243" i="1"/>
  <c r="I233" i="1"/>
  <c r="H233" i="1"/>
  <c r="U227" i="1"/>
  <c r="T227" i="1"/>
  <c r="U226" i="1"/>
  <c r="T226" i="1"/>
  <c r="I222" i="1"/>
  <c r="U222" i="1" s="1"/>
  <c r="T223" i="1"/>
  <c r="P198" i="1"/>
  <c r="R194" i="1"/>
  <c r="P194" i="1"/>
  <c r="P173" i="1"/>
  <c r="I134" i="1"/>
  <c r="H134" i="1"/>
  <c r="P141" i="1"/>
  <c r="P103" i="1"/>
  <c r="P102" i="1"/>
  <c r="I97" i="1"/>
  <c r="H97" i="1"/>
  <c r="P91" i="1"/>
  <c r="P99" i="1"/>
  <c r="I25" i="1"/>
  <c r="P22" i="1"/>
  <c r="P9" i="1"/>
  <c r="Y99" i="1" l="1"/>
  <c r="Z99" i="1"/>
  <c r="X99" i="1"/>
  <c r="Z103" i="1"/>
  <c r="X103" i="1"/>
  <c r="Y103" i="1"/>
  <c r="Y173" i="1"/>
  <c r="Z173" i="1"/>
  <c r="X173" i="1"/>
  <c r="P186" i="1"/>
  <c r="AD186" i="1"/>
  <c r="AE186" i="1"/>
  <c r="AC186" i="1"/>
  <c r="AD198" i="1"/>
  <c r="AE198" i="1"/>
  <c r="AC198" i="1"/>
  <c r="AE99" i="1"/>
  <c r="AC99" i="1"/>
  <c r="AD99" i="1"/>
  <c r="AD103" i="1"/>
  <c r="AE103" i="1"/>
  <c r="AC103" i="1"/>
  <c r="AE141" i="1"/>
  <c r="AC141" i="1"/>
  <c r="AD141" i="1"/>
  <c r="AE173" i="1"/>
  <c r="AC173" i="1"/>
  <c r="AD173" i="1"/>
  <c r="Y186" i="1"/>
  <c r="Z186" i="1"/>
  <c r="X186" i="1"/>
  <c r="Z198" i="1"/>
  <c r="X198" i="1"/>
  <c r="Y198" i="1"/>
  <c r="I77" i="5"/>
  <c r="H77" i="5"/>
  <c r="G77" i="5"/>
  <c r="W198" i="1" l="1"/>
  <c r="T198" i="1" s="1"/>
  <c r="W186" i="1"/>
  <c r="T186" i="1" s="1"/>
  <c r="AB186" i="1"/>
  <c r="U186" i="1" s="1"/>
  <c r="AB173" i="1"/>
  <c r="U173" i="1" s="1"/>
  <c r="AB141" i="1"/>
  <c r="U141" i="1" s="1"/>
  <c r="AB103" i="1"/>
  <c r="U103" i="1" s="1"/>
  <c r="AB99" i="1"/>
  <c r="U99" i="1" s="1"/>
  <c r="AB198" i="1"/>
  <c r="U198" i="1" s="1"/>
  <c r="W173" i="1"/>
  <c r="T173" i="1" s="1"/>
  <c r="W103" i="1"/>
  <c r="T103" i="1" s="1"/>
  <c r="W99" i="1"/>
  <c r="T99" i="1" s="1"/>
  <c r="G71" i="5"/>
  <c r="I75" i="5"/>
  <c r="H75" i="5"/>
  <c r="G75" i="5"/>
  <c r="G73" i="5"/>
  <c r="O73" i="5" s="1"/>
  <c r="G67" i="5"/>
  <c r="AD237" i="1"/>
  <c r="AC237" i="1"/>
  <c r="Y237" i="1"/>
  <c r="X237" i="1"/>
  <c r="G82" i="5" l="1"/>
  <c r="W237" i="1"/>
  <c r="T237" i="1" s="1"/>
  <c r="AB237" i="1"/>
  <c r="U237" i="1" s="1"/>
  <c r="X16" i="2"/>
  <c r="H18" i="7" l="1"/>
  <c r="G18" i="7"/>
  <c r="J18" i="7" l="1"/>
  <c r="N11" i="7" l="1"/>
  <c r="L11" i="7"/>
  <c r="N13" i="7"/>
  <c r="L13" i="7"/>
  <c r="Q148" i="5" l="1"/>
  <c r="Q46" i="5" l="1"/>
  <c r="I54" i="5"/>
  <c r="I55" i="5" s="1"/>
  <c r="H54" i="5"/>
  <c r="H55" i="5" s="1"/>
  <c r="G54" i="5"/>
  <c r="G55" i="5" s="1"/>
  <c r="N178" i="5" l="1"/>
  <c r="M150" i="5" l="1"/>
  <c r="N150" i="5"/>
  <c r="O150" i="5"/>
  <c r="Q150" i="5"/>
  <c r="N116" i="5"/>
  <c r="N113" i="5"/>
  <c r="N90" i="5"/>
  <c r="N62" i="5"/>
  <c r="M49" i="5"/>
  <c r="N49" i="5"/>
  <c r="Q49" i="5"/>
  <c r="N47" i="5"/>
  <c r="N44" i="5"/>
  <c r="N32" i="5"/>
  <c r="N29" i="5"/>
  <c r="M19" i="5"/>
  <c r="N19" i="5"/>
  <c r="Q19" i="5"/>
  <c r="T150" i="5" l="1"/>
  <c r="U150" i="5" s="1"/>
  <c r="V150" i="5" s="1"/>
  <c r="O49" i="5"/>
  <c r="T49" i="5" s="1"/>
  <c r="U49" i="5" s="1"/>
  <c r="V49" i="5" s="1"/>
  <c r="O19" i="5"/>
  <c r="T19" i="5" s="1"/>
  <c r="U19" i="5" s="1"/>
  <c r="V19" i="5" s="1"/>
  <c r="H152" i="5" l="1"/>
  <c r="H153" i="5" s="1"/>
  <c r="I152" i="5"/>
  <c r="I153" i="5" s="1"/>
  <c r="G152" i="5"/>
  <c r="H207" i="1"/>
  <c r="I207" i="1"/>
  <c r="G207" i="1"/>
  <c r="I203" i="1"/>
  <c r="G203" i="1"/>
  <c r="P203" i="1" s="1"/>
  <c r="H203" i="1"/>
  <c r="G199" i="1"/>
  <c r="P199" i="1" s="1"/>
  <c r="H221" i="1"/>
  <c r="T221" i="1" s="1"/>
  <c r="G111" i="1"/>
  <c r="H52" i="1"/>
  <c r="I52" i="1"/>
  <c r="I28" i="1"/>
  <c r="H28" i="1"/>
  <c r="I39" i="1"/>
  <c r="H39" i="1"/>
  <c r="G39" i="1"/>
  <c r="O152" i="5" l="1"/>
  <c r="G153" i="5"/>
  <c r="Z28" i="1"/>
  <c r="X28" i="1"/>
  <c r="Y28" i="1"/>
  <c r="AD28" i="1"/>
  <c r="AE28" i="1"/>
  <c r="AC28" i="1"/>
  <c r="H111" i="1"/>
  <c r="Q153" i="5"/>
  <c r="N148" i="5"/>
  <c r="H33" i="5"/>
  <c r="G22" i="5"/>
  <c r="I161" i="5"/>
  <c r="H161" i="5"/>
  <c r="I162" i="5"/>
  <c r="H162" i="5"/>
  <c r="G162" i="5"/>
  <c r="I160" i="5"/>
  <c r="H160" i="5"/>
  <c r="G160" i="5"/>
  <c r="G165" i="5" s="1"/>
  <c r="I165" i="5" l="1"/>
  <c r="AB28" i="1"/>
  <c r="U28" i="1" s="1"/>
  <c r="W28" i="1"/>
  <c r="T28" i="1" s="1"/>
  <c r="H165" i="5"/>
  <c r="H22" i="5"/>
  <c r="I22" i="5"/>
  <c r="I91" i="5"/>
  <c r="H91" i="5"/>
  <c r="G91" i="5"/>
  <c r="I73" i="5"/>
  <c r="H73" i="5"/>
  <c r="I71" i="5"/>
  <c r="H71" i="5"/>
  <c r="I63" i="5"/>
  <c r="H63" i="5"/>
  <c r="I64" i="5"/>
  <c r="N73" i="5" l="1"/>
  <c r="H64" i="5"/>
  <c r="G23" i="5" l="1"/>
  <c r="L41" i="5" l="1"/>
  <c r="G154" i="1"/>
  <c r="CW18" i="7" l="1"/>
  <c r="CU10" i="7" s="1"/>
  <c r="CR18" i="7" l="1"/>
  <c r="CP10" i="7" s="1"/>
  <c r="CW9" i="7" s="1"/>
  <c r="H15" i="4" l="1"/>
  <c r="H19" i="4"/>
  <c r="H17" i="4"/>
  <c r="H20" i="4" l="1"/>
  <c r="N205" i="5"/>
  <c r="CM14" i="7"/>
  <c r="CM16" i="7"/>
  <c r="CM15" i="7"/>
  <c r="CM13" i="7"/>
  <c r="CM12" i="7"/>
  <c r="CM11" i="7"/>
  <c r="CI14" i="7"/>
  <c r="CI13" i="7"/>
  <c r="CI16" i="7"/>
  <c r="CI15" i="7"/>
  <c r="CI12" i="7"/>
  <c r="CI11" i="7"/>
  <c r="CL15" i="7"/>
  <c r="N15" i="7" s="1"/>
  <c r="F17" i="8" s="1"/>
  <c r="CH15" i="7"/>
  <c r="L15" i="7" s="1"/>
  <c r="E17" i="8" s="1"/>
  <c r="CL16" i="7"/>
  <c r="N16" i="7" s="1"/>
  <c r="F18" i="8" s="1"/>
  <c r="CH16" i="7"/>
  <c r="CL14" i="7"/>
  <c r="CH14" i="7"/>
  <c r="CL13" i="7"/>
  <c r="CH13" i="7"/>
  <c r="CL12" i="7"/>
  <c r="CH12" i="7"/>
  <c r="CL11" i="7"/>
  <c r="CH11" i="7"/>
  <c r="CN16" i="7"/>
  <c r="CJ13" i="7"/>
  <c r="CE16" i="7"/>
  <c r="CE13" i="7"/>
  <c r="CE15" i="7"/>
  <c r="CE14" i="7"/>
  <c r="CE12" i="7"/>
  <c r="CE11" i="7"/>
  <c r="CF18" i="7"/>
  <c r="CD16" i="7"/>
  <c r="CD15" i="7"/>
  <c r="CD14" i="7"/>
  <c r="CF14" i="7" s="1"/>
  <c r="CD13" i="7"/>
  <c r="CD12" i="7"/>
  <c r="CD11" i="7"/>
  <c r="HB62" i="7"/>
  <c r="HA62" i="7"/>
  <c r="HC61" i="7"/>
  <c r="HC62" i="7" s="1"/>
  <c r="HB60" i="7"/>
  <c r="HA60" i="7"/>
  <c r="HA64" i="7" s="1"/>
  <c r="HA65" i="7" s="1"/>
  <c r="GU57" i="7"/>
  <c r="GU58" i="7" s="1"/>
  <c r="GW50" i="7" s="1"/>
  <c r="HC54" i="7"/>
  <c r="HC53" i="7"/>
  <c r="GZ53" i="7"/>
  <c r="HA53" i="7" s="1"/>
  <c r="GW53" i="7"/>
  <c r="GV52" i="7"/>
  <c r="GV50" i="7"/>
  <c r="HT38" i="7"/>
  <c r="HS38" i="7"/>
  <c r="HT36" i="7"/>
  <c r="HS36" i="7"/>
  <c r="HS40" i="7" s="1"/>
  <c r="HS41" i="7" s="1"/>
  <c r="JI35" i="7"/>
  <c r="JI32" i="7"/>
  <c r="N31" i="7"/>
  <c r="L31" i="7"/>
  <c r="HU30" i="7"/>
  <c r="HU29" i="7"/>
  <c r="HR29" i="7"/>
  <c r="HS29" i="7" s="1"/>
  <c r="HD28" i="7"/>
  <c r="HC31" i="7" s="1"/>
  <c r="JJ27" i="7"/>
  <c r="JI27" i="7"/>
  <c r="HH26" i="7"/>
  <c r="HG26" i="7"/>
  <c r="FQ25" i="7"/>
  <c r="FS25" i="7" s="1"/>
  <c r="HA24" i="7"/>
  <c r="GZ24" i="7"/>
  <c r="L23" i="7"/>
  <c r="N23" i="7" s="1"/>
  <c r="H23" i="7"/>
  <c r="G23" i="7"/>
  <c r="F23" i="7"/>
  <c r="E23" i="7"/>
  <c r="D23" i="7"/>
  <c r="H22" i="7"/>
  <c r="G22" i="7"/>
  <c r="F22" i="7"/>
  <c r="E22" i="7"/>
  <c r="D22" i="7"/>
  <c r="HA20" i="7"/>
  <c r="GZ20" i="7"/>
  <c r="H20" i="7"/>
  <c r="G20" i="7"/>
  <c r="F20" i="7"/>
  <c r="E20" i="7"/>
  <c r="D20" i="7"/>
  <c r="HS19" i="7"/>
  <c r="HE19" i="7"/>
  <c r="FL19" i="7"/>
  <c r="FM19" i="7" s="1"/>
  <c r="I19" i="7"/>
  <c r="F19" i="7"/>
  <c r="E19" i="7"/>
  <c r="D19" i="7"/>
  <c r="JY18" i="7"/>
  <c r="JZ18" i="7" s="1"/>
  <c r="HD18" i="7"/>
  <c r="HE24" i="7" s="1"/>
  <c r="HC18" i="7"/>
  <c r="HA18" i="7"/>
  <c r="GZ18" i="7"/>
  <c r="GC18" i="7"/>
  <c r="FZ18" i="7"/>
  <c r="EZ18" i="7"/>
  <c r="FA18" i="7" s="1"/>
  <c r="EO18" i="7"/>
  <c r="EP18" i="7" s="1"/>
  <c r="EC18" i="7"/>
  <c r="ED18" i="7" s="1"/>
  <c r="DP18" i="7"/>
  <c r="DQ18" i="7" s="1"/>
  <c r="DH18" i="7"/>
  <c r="DB18" i="7"/>
  <c r="BW18" i="7"/>
  <c r="BS18" i="7"/>
  <c r="BH18" i="7"/>
  <c r="BB18" i="7"/>
  <c r="BA18" i="7"/>
  <c r="AX18" i="7"/>
  <c r="AW18" i="7"/>
  <c r="AU18" i="7"/>
  <c r="M19" i="7"/>
  <c r="K19" i="7"/>
  <c r="H19" i="7"/>
  <c r="G19" i="7"/>
  <c r="HU37" i="7"/>
  <c r="HU38" i="7" s="1"/>
  <c r="HB18" i="7"/>
  <c r="FM18" i="7"/>
  <c r="JY17" i="7"/>
  <c r="JF17" i="7"/>
  <c r="JE17" i="7"/>
  <c r="JC17" i="7"/>
  <c r="DJ17" i="7"/>
  <c r="CZ17" i="7"/>
  <c r="BA17" i="7"/>
  <c r="AW17" i="7"/>
  <c r="AS17" i="7"/>
  <c r="F17" i="7"/>
  <c r="E17" i="7"/>
  <c r="D17" i="7"/>
  <c r="JG16" i="7"/>
  <c r="JF16" i="7" s="1"/>
  <c r="HL16" i="7"/>
  <c r="HG16" i="7"/>
  <c r="HB16" i="7"/>
  <c r="GB16" i="7"/>
  <c r="GA16" i="7"/>
  <c r="FY16" i="7"/>
  <c r="FX16" i="7"/>
  <c r="GC16" i="7" s="1"/>
  <c r="FN16" i="7"/>
  <c r="FL16" i="7"/>
  <c r="FM16" i="7" s="1"/>
  <c r="FB16" i="7"/>
  <c r="EZ16" i="7"/>
  <c r="FA16" i="7" s="1"/>
  <c r="EQ16" i="7"/>
  <c r="EN15" i="7" s="1"/>
  <c r="EO16" i="7"/>
  <c r="EP16" i="7" s="1"/>
  <c r="EE16" i="7"/>
  <c r="EI15" i="7" s="1"/>
  <c r="EC16" i="7"/>
  <c r="ED16" i="7" s="1"/>
  <c r="DV16" i="7"/>
  <c r="DW16" i="7" s="1"/>
  <c r="DP16" i="7"/>
  <c r="DQ16" i="7" s="1"/>
  <c r="DH16" i="7"/>
  <c r="DB16" i="7"/>
  <c r="BB16" i="7"/>
  <c r="BC16" i="7" s="1"/>
  <c r="AX16" i="7"/>
  <c r="AY16" i="7" s="1"/>
  <c r="AU16" i="7"/>
  <c r="JG15" i="7"/>
  <c r="HX15" i="7"/>
  <c r="GB15" i="7"/>
  <c r="GA15" i="7"/>
  <c r="FY15" i="7"/>
  <c r="FX15" i="7"/>
  <c r="FN15" i="7"/>
  <c r="GU15" i="7" s="1"/>
  <c r="FL15" i="7"/>
  <c r="FM15" i="7" s="1"/>
  <c r="FB15" i="7"/>
  <c r="EZ15" i="7"/>
  <c r="FA15" i="7" s="1"/>
  <c r="ET15" i="7"/>
  <c r="EO15" i="7"/>
  <c r="EP15" i="7" s="1"/>
  <c r="EC15" i="7"/>
  <c r="ED15" i="7" s="1"/>
  <c r="EB15" i="7"/>
  <c r="DV15" i="7"/>
  <c r="DW15" i="7" s="1"/>
  <c r="DP15" i="7"/>
  <c r="DQ15" i="7" s="1"/>
  <c r="DO15" i="7"/>
  <c r="DH15" i="7"/>
  <c r="DF15" i="7"/>
  <c r="DB15" i="7"/>
  <c r="BB15" i="7"/>
  <c r="BC15" i="7" s="1"/>
  <c r="AX15" i="7"/>
  <c r="AY15" i="7" s="1"/>
  <c r="AU15" i="7"/>
  <c r="JG14" i="7"/>
  <c r="HX14" i="7"/>
  <c r="GB14" i="7"/>
  <c r="GA14" i="7"/>
  <c r="FY14" i="7"/>
  <c r="FX14" i="7"/>
  <c r="FN14" i="7"/>
  <c r="FL14" i="7"/>
  <c r="FM14" i="7" s="1"/>
  <c r="FB14" i="7"/>
  <c r="EZ14" i="7"/>
  <c r="FA14" i="7" s="1"/>
  <c r="EQ14" i="7"/>
  <c r="EO14" i="7"/>
  <c r="EP14" i="7" s="1"/>
  <c r="EE14" i="7"/>
  <c r="EC14" i="7"/>
  <c r="ED14" i="7" s="1"/>
  <c r="DV14" i="7"/>
  <c r="DW14" i="7" s="1"/>
  <c r="DT14" i="7"/>
  <c r="DT17" i="7" s="1"/>
  <c r="DP14" i="7"/>
  <c r="DQ14" i="7" s="1"/>
  <c r="DM14" i="7"/>
  <c r="DL14" i="7"/>
  <c r="DH14" i="7"/>
  <c r="DB14" i="7"/>
  <c r="BB14" i="7"/>
  <c r="BC14" i="7" s="1"/>
  <c r="AX14" i="7"/>
  <c r="AY14" i="7" s="1"/>
  <c r="AU14" i="7"/>
  <c r="L14" i="7"/>
  <c r="E16" i="8" s="1"/>
  <c r="JG13" i="7"/>
  <c r="JF13" i="7" s="1"/>
  <c r="HX13" i="7"/>
  <c r="HL13" i="7"/>
  <c r="HG13" i="7"/>
  <c r="HC13" i="7"/>
  <c r="HB13" i="7"/>
  <c r="GB13" i="7"/>
  <c r="GA13" i="7"/>
  <c r="FY13" i="7"/>
  <c r="FX13" i="7"/>
  <c r="FN13" i="7"/>
  <c r="FL13" i="7"/>
  <c r="FM13" i="7" s="1"/>
  <c r="FB13" i="7"/>
  <c r="EZ13" i="7"/>
  <c r="FA13" i="7" s="1"/>
  <c r="EQ13" i="7"/>
  <c r="EO13" i="7"/>
  <c r="EP13" i="7" s="1"/>
  <c r="EE13" i="7"/>
  <c r="EC13" i="7"/>
  <c r="ED13" i="7" s="1"/>
  <c r="DV13" i="7"/>
  <c r="DW13" i="7" s="1"/>
  <c r="DT13" i="7"/>
  <c r="DP13" i="7"/>
  <c r="DQ13" i="7" s="1"/>
  <c r="DL13" i="7"/>
  <c r="DH13" i="7"/>
  <c r="DB13" i="7"/>
  <c r="BC13" i="7"/>
  <c r="AX13" i="7"/>
  <c r="AY13" i="7" s="1"/>
  <c r="AU13" i="7"/>
  <c r="JG12" i="7"/>
  <c r="HX12" i="7"/>
  <c r="HC12" i="7"/>
  <c r="GB12" i="7"/>
  <c r="GA12" i="7"/>
  <c r="FY12" i="7"/>
  <c r="FX12" i="7"/>
  <c r="FL12" i="7"/>
  <c r="FM12" i="7" s="1"/>
  <c r="EZ12" i="7"/>
  <c r="FA12" i="7" s="1"/>
  <c r="EO12" i="7"/>
  <c r="EP12" i="7" s="1"/>
  <c r="EC12" i="7"/>
  <c r="ED12" i="7" s="1"/>
  <c r="DV12" i="7"/>
  <c r="DW12" i="7" s="1"/>
  <c r="DP12" i="7"/>
  <c r="DQ12" i="7" s="1"/>
  <c r="DH12" i="7"/>
  <c r="DB12" i="7"/>
  <c r="BB12" i="7"/>
  <c r="BC12" i="7" s="1"/>
  <c r="AX12" i="7"/>
  <c r="AY12" i="7" s="1"/>
  <c r="AU12" i="7"/>
  <c r="JG11" i="7"/>
  <c r="JF11" i="7" s="1"/>
  <c r="ID11" i="7"/>
  <c r="HZ11" i="7"/>
  <c r="HX11" i="7"/>
  <c r="HV11" i="7"/>
  <c r="HV12" i="7" s="1"/>
  <c r="HC11" i="7"/>
  <c r="HH11" i="7" s="1"/>
  <c r="GB11" i="7"/>
  <c r="FY11" i="7"/>
  <c r="FX11" i="7"/>
  <c r="FL11" i="7"/>
  <c r="FM11" i="7" s="1"/>
  <c r="EZ11" i="7"/>
  <c r="FA11" i="7" s="1"/>
  <c r="EO11" i="7"/>
  <c r="EP11" i="7" s="1"/>
  <c r="EC11" i="7"/>
  <c r="ED11" i="7" s="1"/>
  <c r="DV11" i="7"/>
  <c r="DW11" i="7" s="1"/>
  <c r="DP11" i="7"/>
  <c r="DQ11" i="7" s="1"/>
  <c r="DO11" i="7"/>
  <c r="DH11" i="7"/>
  <c r="DF11" i="7"/>
  <c r="DB11" i="7"/>
  <c r="BB11" i="7"/>
  <c r="BC11" i="7" s="1"/>
  <c r="AX11" i="7"/>
  <c r="AY11" i="7" s="1"/>
  <c r="AU11" i="7"/>
  <c r="E13" i="8"/>
  <c r="EE10" i="7"/>
  <c r="IU9" i="7"/>
  <c r="IT11" i="7" s="1"/>
  <c r="IN9" i="7"/>
  <c r="IM11" i="7" s="1"/>
  <c r="IM12" i="7" s="1"/>
  <c r="II9" i="7"/>
  <c r="IH11" i="7" s="1"/>
  <c r="HX9" i="7"/>
  <c r="DQ9" i="7"/>
  <c r="CA9" i="7"/>
  <c r="CA10" i="7" s="1"/>
  <c r="BQ9" i="7"/>
  <c r="BW9" i="7" s="1"/>
  <c r="BW10" i="7" s="1"/>
  <c r="BF9" i="7"/>
  <c r="HE28" i="7" l="1"/>
  <c r="H21" i="4"/>
  <c r="DH17" i="7"/>
  <c r="EB11" i="7"/>
  <c r="EB16" i="7" s="1"/>
  <c r="EN11" i="7"/>
  <c r="EN16" i="7" s="1"/>
  <c r="GC14" i="7"/>
  <c r="L12" i="7"/>
  <c r="E14" i="8" s="1"/>
  <c r="CF16" i="7"/>
  <c r="CN11" i="7"/>
  <c r="CN13" i="7"/>
  <c r="J19" i="7"/>
  <c r="JZ17" i="7" s="1"/>
  <c r="KA17" i="7" s="1"/>
  <c r="KB17" i="7" s="1"/>
  <c r="C20" i="8"/>
  <c r="D20" i="8" s="1"/>
  <c r="D21" i="8" s="1"/>
  <c r="IH12" i="7"/>
  <c r="DB17" i="7"/>
  <c r="DA17" i="7" s="1"/>
  <c r="FX17" i="7"/>
  <c r="HZ12" i="7"/>
  <c r="FZ15" i="7"/>
  <c r="CD17" i="7"/>
  <c r="CW10" i="7" s="1"/>
  <c r="CN15" i="7"/>
  <c r="C21" i="8"/>
  <c r="EP17" i="7"/>
  <c r="GW47" i="7"/>
  <c r="GX50" i="7"/>
  <c r="GW51" i="7" s="1"/>
  <c r="H17" i="7"/>
  <c r="CL17" i="7"/>
  <c r="F13" i="8"/>
  <c r="AY17" i="7"/>
  <c r="AX17" i="7" s="1"/>
  <c r="DQ17" i="7"/>
  <c r="DQ19" i="7" s="1"/>
  <c r="DQ24" i="7" s="1"/>
  <c r="FM17" i="7"/>
  <c r="FZ12" i="7"/>
  <c r="GC12" i="7"/>
  <c r="EY11" i="7"/>
  <c r="EY13" i="7" s="1"/>
  <c r="L16" i="7"/>
  <c r="E18" i="8" s="1"/>
  <c r="N12" i="7"/>
  <c r="F14" i="8" s="1"/>
  <c r="CN14" i="7"/>
  <c r="ET14" i="7"/>
  <c r="ES17" i="7" s="1"/>
  <c r="ES13" i="7"/>
  <c r="EQ10" i="7"/>
  <c r="GU14" i="7"/>
  <c r="GT17" i="7" s="1"/>
  <c r="GT13" i="7"/>
  <c r="FK11" i="7"/>
  <c r="FK13" i="7" s="1"/>
  <c r="FN10" i="7"/>
  <c r="FE15" i="7"/>
  <c r="FF15" i="7" s="1"/>
  <c r="EY15" i="7"/>
  <c r="JI15" i="7"/>
  <c r="JF15" i="7"/>
  <c r="BK9" i="7"/>
  <c r="BK10" i="7" s="1"/>
  <c r="BJ13" i="7" s="1"/>
  <c r="BK13" i="7" s="1"/>
  <c r="FB10" i="7"/>
  <c r="BC17" i="7"/>
  <c r="BB17" i="7" s="1"/>
  <c r="DW17" i="7"/>
  <c r="DQ25" i="7" s="1"/>
  <c r="FA17" i="7"/>
  <c r="GC11" i="7"/>
  <c r="HH12" i="7"/>
  <c r="HM12" i="7" s="1"/>
  <c r="HN12" i="7" s="1"/>
  <c r="HD12" i="7"/>
  <c r="IB12" i="7" s="1"/>
  <c r="IA12" i="7" s="1"/>
  <c r="JI12" i="7"/>
  <c r="JF12" i="7"/>
  <c r="F15" i="8"/>
  <c r="FQ14" i="7"/>
  <c r="FS14" i="7" s="1"/>
  <c r="JI14" i="7"/>
  <c r="JK14" i="7" s="1"/>
  <c r="JF14" i="7"/>
  <c r="GW17" i="7"/>
  <c r="FG17" i="7"/>
  <c r="EZ9" i="7" s="1"/>
  <c r="E15" i="8"/>
  <c r="AU17" i="7"/>
  <c r="AT17" i="7" s="1"/>
  <c r="ED17" i="7"/>
  <c r="FZ11" i="7"/>
  <c r="ID12" i="7"/>
  <c r="FZ13" i="7"/>
  <c r="FZ14" i="7"/>
  <c r="GC15" i="7"/>
  <c r="FZ16" i="7"/>
  <c r="FL18" i="7"/>
  <c r="AY18" i="7"/>
  <c r="AY19" i="7" s="1"/>
  <c r="BC18" i="7"/>
  <c r="JK27" i="7"/>
  <c r="JK28" i="7" s="1"/>
  <c r="GU60" i="7"/>
  <c r="CF15" i="7"/>
  <c r="CF13" i="7"/>
  <c r="CJ11" i="7"/>
  <c r="CJ12" i="7"/>
  <c r="CN12" i="7"/>
  <c r="CJ14" i="7"/>
  <c r="CF12" i="7"/>
  <c r="N14" i="7"/>
  <c r="F16" i="8" s="1"/>
  <c r="G17" i="7"/>
  <c r="CJ15" i="7"/>
  <c r="CH17" i="7"/>
  <c r="CJ16" i="7"/>
  <c r="CN17" i="7"/>
  <c r="HC32" i="7"/>
  <c r="GV53" i="7"/>
  <c r="CF11" i="7"/>
  <c r="L33" i="7"/>
  <c r="IT12" i="7"/>
  <c r="HI11" i="7"/>
  <c r="HM11" i="7"/>
  <c r="HN11" i="7" s="1"/>
  <c r="IF12" i="7"/>
  <c r="DF16" i="7"/>
  <c r="DF13" i="7"/>
  <c r="EB13" i="7"/>
  <c r="EY16" i="7"/>
  <c r="HD11" i="7"/>
  <c r="HW11" i="7" s="1"/>
  <c r="EI14" i="7"/>
  <c r="EI16" i="7" s="1"/>
  <c r="EG13" i="7"/>
  <c r="GC13" i="7"/>
  <c r="JI13" i="7"/>
  <c r="JH14" i="7"/>
  <c r="DO16" i="7"/>
  <c r="DO13" i="7"/>
  <c r="EN13" i="7"/>
  <c r="FE14" i="7"/>
  <c r="FD13" i="7"/>
  <c r="HH13" i="7"/>
  <c r="HD13" i="7"/>
  <c r="HC15" i="7"/>
  <c r="JG17" i="7"/>
  <c r="JI11" i="7"/>
  <c r="DX14" i="7"/>
  <c r="DX15" i="7" s="1"/>
  <c r="DX17" i="7" s="1"/>
  <c r="DY17" i="7" s="1"/>
  <c r="HC14" i="7"/>
  <c r="FK15" i="7"/>
  <c r="FQ15" i="7"/>
  <c r="JI16" i="7"/>
  <c r="EP19" i="7"/>
  <c r="JY19" i="7"/>
  <c r="JZ19" i="7" s="1"/>
  <c r="BH29" i="7"/>
  <c r="N18" i="7"/>
  <c r="KA18" i="7"/>
  <c r="FM20" i="7"/>
  <c r="BH30" i="7"/>
  <c r="L18" i="7"/>
  <c r="U80" i="1"/>
  <c r="T80" i="1"/>
  <c r="GX51" i="7" l="1"/>
  <c r="FE16" i="7"/>
  <c r="GU16" i="7"/>
  <c r="HC16" i="7" s="1"/>
  <c r="BJ12" i="7"/>
  <c r="BK12" i="7" s="1"/>
  <c r="CF17" i="7"/>
  <c r="AU19" i="7"/>
  <c r="GV15" i="7"/>
  <c r="GW15" i="7" s="1"/>
  <c r="FG15" i="7"/>
  <c r="HB14" i="7"/>
  <c r="HL14" i="7"/>
  <c r="BC19" i="7"/>
  <c r="BJ16" i="7"/>
  <c r="BK16" i="7" s="1"/>
  <c r="FK16" i="7"/>
  <c r="GW14" i="7"/>
  <c r="EN14" i="7"/>
  <c r="BJ15" i="7"/>
  <c r="BK15" i="7" s="1"/>
  <c r="GC17" i="7"/>
  <c r="GB17" i="7" s="1"/>
  <c r="L17" i="7"/>
  <c r="E19" i="8"/>
  <c r="CE17" i="7"/>
  <c r="CR9" i="7"/>
  <c r="CR10" i="7" s="1"/>
  <c r="EY14" i="7"/>
  <c r="L19" i="7"/>
  <c r="E20" i="8"/>
  <c r="E21" i="8" s="1"/>
  <c r="F19" i="8"/>
  <c r="N19" i="7"/>
  <c r="F20" i="8"/>
  <c r="F21" i="8" s="1"/>
  <c r="EV14" i="7"/>
  <c r="HW12" i="7"/>
  <c r="DF14" i="7"/>
  <c r="CJ17" i="7"/>
  <c r="CI17" i="7" s="1"/>
  <c r="FK14" i="7"/>
  <c r="N17" i="7"/>
  <c r="EU17" i="7"/>
  <c r="EV17" i="7" s="1"/>
  <c r="EO9" i="7" s="1"/>
  <c r="GW52" i="7"/>
  <c r="FL9" i="7"/>
  <c r="JK12" i="7"/>
  <c r="JH12" i="7"/>
  <c r="JK15" i="7"/>
  <c r="JH15" i="7"/>
  <c r="BJ14" i="7"/>
  <c r="BK14" i="7" s="1"/>
  <c r="HI12" i="7"/>
  <c r="BN9" i="7"/>
  <c r="BN10" i="7" s="1"/>
  <c r="BJ11" i="7"/>
  <c r="BK11" i="7" s="1"/>
  <c r="FZ17" i="7"/>
  <c r="FY17" i="7" s="1"/>
  <c r="ET16" i="7"/>
  <c r="BG9" i="7"/>
  <c r="BH9" i="7" s="1"/>
  <c r="K17" i="7"/>
  <c r="CM17" i="7"/>
  <c r="FA19" i="7"/>
  <c r="CF19" i="7"/>
  <c r="DH19" i="7"/>
  <c r="GU61" i="7"/>
  <c r="HG14" i="7"/>
  <c r="HD30" i="7"/>
  <c r="HD31" i="7" s="1"/>
  <c r="HE31" i="7" s="1"/>
  <c r="GC19" i="7"/>
  <c r="GA17" i="7"/>
  <c r="ED19" i="7"/>
  <c r="JH16" i="7"/>
  <c r="JK16" i="7"/>
  <c r="FQ16" i="7"/>
  <c r="FR15" i="7"/>
  <c r="FS15" i="7" s="1"/>
  <c r="HH14" i="7"/>
  <c r="HD14" i="7"/>
  <c r="HD17" i="7" s="1"/>
  <c r="JI17" i="7"/>
  <c r="JK11" i="7"/>
  <c r="JH11" i="7"/>
  <c r="HH16" i="7"/>
  <c r="HD16" i="7"/>
  <c r="HM13" i="7"/>
  <c r="HN13" i="7" s="1"/>
  <c r="HI13" i="7"/>
  <c r="FD17" i="7"/>
  <c r="FG14" i="7"/>
  <c r="FT14" i="7" s="1"/>
  <c r="FU14" i="7" s="1"/>
  <c r="DN17" i="7"/>
  <c r="JJ14" i="7"/>
  <c r="JM14" i="7"/>
  <c r="JL14" i="7" s="1"/>
  <c r="EG17" i="7"/>
  <c r="EK14" i="7"/>
  <c r="EI17" i="7" s="1"/>
  <c r="EJ17" i="7" s="1"/>
  <c r="EC9" i="7" s="1"/>
  <c r="EB14" i="7"/>
  <c r="BM14" i="7"/>
  <c r="BN14" i="7" s="1"/>
  <c r="IJ12" i="7"/>
  <c r="IE12" i="7"/>
  <c r="HD15" i="7"/>
  <c r="HH15" i="7"/>
  <c r="IB13" i="7"/>
  <c r="HW13" i="7"/>
  <c r="DO14" i="7"/>
  <c r="DM13" i="7"/>
  <c r="JH13" i="7"/>
  <c r="JK13" i="7"/>
  <c r="IB11" i="7"/>
  <c r="L24" i="7" l="1"/>
  <c r="E22" i="8"/>
  <c r="CQ12" i="7"/>
  <c r="CQ16" i="7"/>
  <c r="CQ14" i="7"/>
  <c r="CQ15" i="7"/>
  <c r="CQ11" i="7"/>
  <c r="CQ13" i="7"/>
  <c r="BK17" i="7"/>
  <c r="BJ17" i="7" s="1"/>
  <c r="M17" i="7"/>
  <c r="N24" i="7"/>
  <c r="F22" i="8"/>
  <c r="BV16" i="7"/>
  <c r="BG16" i="7"/>
  <c r="BH16" i="7" s="1"/>
  <c r="BR15" i="7"/>
  <c r="BS15" i="7" s="1"/>
  <c r="BV12" i="7"/>
  <c r="BG12" i="7"/>
  <c r="BH12" i="7" s="1"/>
  <c r="BG14" i="7"/>
  <c r="BH14" i="7" s="1"/>
  <c r="BG13" i="7"/>
  <c r="BH13" i="7" s="1"/>
  <c r="BR13" i="7"/>
  <c r="BS13" i="7" s="1"/>
  <c r="BR11" i="7"/>
  <c r="BS11" i="7" s="1"/>
  <c r="BR16" i="7"/>
  <c r="BS16" i="7" s="1"/>
  <c r="BV15" i="7"/>
  <c r="BG15" i="7"/>
  <c r="BH15" i="7" s="1"/>
  <c r="BR12" i="7"/>
  <c r="BS12" i="7" s="1"/>
  <c r="BV14" i="7"/>
  <c r="BV13" i="7"/>
  <c r="BR14" i="7"/>
  <c r="BS14" i="7" s="1"/>
  <c r="BV11" i="7"/>
  <c r="BZ11" i="7" s="1"/>
  <c r="BG11" i="7"/>
  <c r="BH11" i="7" s="1"/>
  <c r="BM11" i="7"/>
  <c r="BN11" i="7" s="1"/>
  <c r="BM15" i="7"/>
  <c r="BN15" i="7" s="1"/>
  <c r="BM12" i="7"/>
  <c r="BN12" i="7" s="1"/>
  <c r="BM16" i="7"/>
  <c r="BN16" i="7" s="1"/>
  <c r="FZ19" i="7"/>
  <c r="BM13" i="7"/>
  <c r="BN13" i="7" s="1"/>
  <c r="JM15" i="7"/>
  <c r="JL15" i="7" s="1"/>
  <c r="JJ15" i="7"/>
  <c r="JM12" i="7"/>
  <c r="JL12" i="7" s="1"/>
  <c r="JJ12" i="7"/>
  <c r="IF11" i="7"/>
  <c r="IA11" i="7"/>
  <c r="JJ13" i="7"/>
  <c r="JM13" i="7"/>
  <c r="JL13" i="7" s="1"/>
  <c r="IF13" i="7"/>
  <c r="IA13" i="7"/>
  <c r="IB15" i="7"/>
  <c r="HW15" i="7"/>
  <c r="II12" i="7"/>
  <c r="IK12" i="7" s="1"/>
  <c r="IO12" i="7"/>
  <c r="HM14" i="7"/>
  <c r="HN14" i="7" s="1"/>
  <c r="HN17" i="7" s="1"/>
  <c r="HI14" i="7"/>
  <c r="HI17" i="7" s="1"/>
  <c r="HI15" i="7"/>
  <c r="HM15" i="7"/>
  <c r="HN15" i="7" s="1"/>
  <c r="HM16" i="7"/>
  <c r="HN16" i="7" s="1"/>
  <c r="HI16" i="7"/>
  <c r="JK17" i="7"/>
  <c r="JM11" i="7"/>
  <c r="JJ11" i="7"/>
  <c r="IB14" i="7"/>
  <c r="HW14" i="7"/>
  <c r="JJ16" i="7"/>
  <c r="JM16" i="7"/>
  <c r="JL16" i="7" s="1"/>
  <c r="BH17" i="7" l="1"/>
  <c r="BG17" i="7" s="1"/>
  <c r="CR13" i="7"/>
  <c r="CV13" i="7"/>
  <c r="CW13" i="7" s="1"/>
  <c r="C15" i="8"/>
  <c r="D15" i="8" s="1"/>
  <c r="CR15" i="7"/>
  <c r="J15" i="7"/>
  <c r="C17" i="8" s="1"/>
  <c r="D17" i="8" s="1"/>
  <c r="CV15" i="7"/>
  <c r="CW15" i="7" s="1"/>
  <c r="CR16" i="7"/>
  <c r="J16" i="7"/>
  <c r="C18" i="8" s="1"/>
  <c r="D18" i="8" s="1"/>
  <c r="CV16" i="7"/>
  <c r="CW16" i="7" s="1"/>
  <c r="CR11" i="7"/>
  <c r="CV11" i="7"/>
  <c r="CW11" i="7" s="1"/>
  <c r="CR14" i="7"/>
  <c r="J14" i="7"/>
  <c r="C16" i="8" s="1"/>
  <c r="D16" i="8" s="1"/>
  <c r="CV14" i="7"/>
  <c r="CW14" i="7" s="1"/>
  <c r="CR12" i="7"/>
  <c r="J12" i="7"/>
  <c r="C14" i="8" s="1"/>
  <c r="D14" i="8" s="1"/>
  <c r="CV12" i="7"/>
  <c r="CW12" i="7" s="1"/>
  <c r="BH34" i="7"/>
  <c r="BZ14" i="7"/>
  <c r="CA14" i="7" s="1"/>
  <c r="BW14" i="7"/>
  <c r="BZ12" i="7"/>
  <c r="CA12" i="7" s="1"/>
  <c r="BW12" i="7"/>
  <c r="BN17" i="7"/>
  <c r="BM17" i="7" s="1"/>
  <c r="CA11" i="7"/>
  <c r="BW11" i="7"/>
  <c r="BZ13" i="7"/>
  <c r="CA13" i="7" s="1"/>
  <c r="BW13" i="7"/>
  <c r="BZ15" i="7"/>
  <c r="CA15" i="7" s="1"/>
  <c r="BW15" i="7"/>
  <c r="BS17" i="7"/>
  <c r="BS19" i="7" s="1"/>
  <c r="BZ16" i="7"/>
  <c r="CA16" i="7" s="1"/>
  <c r="BW16" i="7"/>
  <c r="IN12" i="7"/>
  <c r="IP12" i="7" s="1"/>
  <c r="IV12" i="7"/>
  <c r="IU12" i="7" s="1"/>
  <c r="IJ11" i="7"/>
  <c r="IE11" i="7"/>
  <c r="IF14" i="7"/>
  <c r="IA14" i="7"/>
  <c r="JM17" i="7"/>
  <c r="JL11" i="7"/>
  <c r="IF15" i="7"/>
  <c r="IA15" i="7"/>
  <c r="IJ13" i="7"/>
  <c r="IE13" i="7"/>
  <c r="J69" i="1"/>
  <c r="E70" i="1"/>
  <c r="F70" i="1"/>
  <c r="BH19" i="7" l="1"/>
  <c r="CW17" i="7"/>
  <c r="CW19" i="7" s="1"/>
  <c r="CR17" i="7"/>
  <c r="CR19" i="7" s="1"/>
  <c r="C13" i="8"/>
  <c r="J17" i="7"/>
  <c r="BR17" i="7"/>
  <c r="CA17" i="7"/>
  <c r="BZ17" i="7" s="1"/>
  <c r="BW17" i="7"/>
  <c r="BW19" i="7" s="1"/>
  <c r="IW12" i="7"/>
  <c r="IO13" i="7"/>
  <c r="II13" i="7"/>
  <c r="IK13" i="7" s="1"/>
  <c r="IJ15" i="7"/>
  <c r="IE15" i="7"/>
  <c r="IJ14" i="7"/>
  <c r="IE14" i="7"/>
  <c r="II11" i="7"/>
  <c r="IO11" i="7"/>
  <c r="E27" i="1"/>
  <c r="E24" i="1"/>
  <c r="F27" i="1"/>
  <c r="J24" i="7" l="1"/>
  <c r="I17" i="7"/>
  <c r="D13" i="8"/>
  <c r="D19" i="8" s="1"/>
  <c r="D22" i="8" s="1"/>
  <c r="C19" i="8"/>
  <c r="C22" i="8" s="1"/>
  <c r="BV17" i="7"/>
  <c r="IV11" i="7"/>
  <c r="IU11" i="7" s="1"/>
  <c r="IN11" i="7"/>
  <c r="IP11" i="7" s="1"/>
  <c r="IQ11" i="7" s="1"/>
  <c r="IK11" i="7"/>
  <c r="IL11" i="7" s="1"/>
  <c r="IO14" i="7"/>
  <c r="II14" i="7"/>
  <c r="IK14" i="7" s="1"/>
  <c r="IO15" i="7"/>
  <c r="II15" i="7"/>
  <c r="IK15" i="7" s="1"/>
  <c r="IV13" i="7"/>
  <c r="IU13" i="7" s="1"/>
  <c r="IN13" i="7"/>
  <c r="IP13" i="7" s="1"/>
  <c r="F222" i="1"/>
  <c r="E178" i="1"/>
  <c r="F178" i="1"/>
  <c r="F176" i="1"/>
  <c r="IW13" i="7" l="1"/>
  <c r="IV15" i="7"/>
  <c r="IU15" i="7" s="1"/>
  <c r="IN15" i="7"/>
  <c r="IP15" i="7" s="1"/>
  <c r="IV14" i="7"/>
  <c r="IU14" i="7" s="1"/>
  <c r="IN14" i="7"/>
  <c r="IP14" i="7" s="1"/>
  <c r="IW11" i="7"/>
  <c r="IX11" i="7" s="1"/>
  <c r="I162" i="1"/>
  <c r="H162" i="1"/>
  <c r="E144" i="1"/>
  <c r="F144" i="1"/>
  <c r="E149" i="1"/>
  <c r="F145" i="1"/>
  <c r="H138" i="1"/>
  <c r="T138" i="1" s="1"/>
  <c r="H137" i="1"/>
  <c r="H135" i="1"/>
  <c r="E135" i="1"/>
  <c r="E134" i="1"/>
  <c r="F131" i="1"/>
  <c r="F138" i="1"/>
  <c r="F137" i="1"/>
  <c r="U138" i="1"/>
  <c r="J138" i="1"/>
  <c r="O138" i="1"/>
  <c r="N138" i="1" s="1"/>
  <c r="F136" i="1"/>
  <c r="F135" i="1"/>
  <c r="F134" i="1"/>
  <c r="F141" i="1"/>
  <c r="IW14" i="7" l="1"/>
  <c r="IW15" i="7"/>
  <c r="U120" i="1"/>
  <c r="T120" i="1"/>
  <c r="E121" i="1"/>
  <c r="F111" i="1"/>
  <c r="E108" i="1"/>
  <c r="E103" i="1"/>
  <c r="E95" i="1"/>
  <c r="E91" i="1"/>
  <c r="F95" i="1"/>
  <c r="E81" i="1" l="1"/>
  <c r="E62" i="1"/>
  <c r="E63" i="1"/>
  <c r="E71" i="1"/>
  <c r="F71" i="1"/>
  <c r="F66" i="1"/>
  <c r="F65" i="1"/>
  <c r="F57" i="1"/>
  <c r="F54" i="1"/>
  <c r="F52" i="1"/>
  <c r="F59" i="1"/>
  <c r="P59" i="1" s="1"/>
  <c r="E39" i="1"/>
  <c r="Z19" i="4" l="1"/>
  <c r="E31" i="1" l="1"/>
  <c r="F31" i="1"/>
  <c r="E35" i="1"/>
  <c r="F35" i="1"/>
  <c r="E22" i="1"/>
  <c r="F22" i="1"/>
  <c r="F24" i="1"/>
  <c r="F28" i="1"/>
  <c r="E28" i="1"/>
  <c r="E9" i="1"/>
  <c r="E12" i="1"/>
  <c r="E14" i="1"/>
  <c r="F9" i="1"/>
  <c r="F15" i="1"/>
  <c r="F14" i="1"/>
  <c r="F12" i="1"/>
  <c r="F198" i="1"/>
  <c r="E198" i="1"/>
  <c r="E199" i="1"/>
  <c r="F202" i="1"/>
  <c r="F203" i="1"/>
  <c r="F199" i="1"/>
  <c r="I202" i="1"/>
  <c r="H202" i="1"/>
  <c r="E186" i="1"/>
  <c r="F186" i="1"/>
  <c r="F173" i="1"/>
  <c r="E176" i="1"/>
  <c r="F37" i="1" l="1"/>
  <c r="F205" i="1"/>
  <c r="F197" i="1"/>
  <c r="M109" i="5" l="1"/>
  <c r="Q109" i="5"/>
  <c r="N109" i="5" l="1"/>
  <c r="F131" i="5"/>
  <c r="M127" i="5"/>
  <c r="N127" i="5"/>
  <c r="M126" i="5"/>
  <c r="N126" i="5"/>
  <c r="M108" i="5"/>
  <c r="O113" i="5"/>
  <c r="N108" i="5"/>
  <c r="F107" i="5"/>
  <c r="T109" i="5" l="1"/>
  <c r="U109" i="5" s="1"/>
  <c r="V109" i="5" s="1"/>
  <c r="O126" i="5"/>
  <c r="Q126" i="5"/>
  <c r="O127" i="5"/>
  <c r="Q127" i="5"/>
  <c r="Q108" i="5"/>
  <c r="T108" i="5" l="1"/>
  <c r="U108" i="5" s="1"/>
  <c r="V108" i="5" s="1"/>
  <c r="T127" i="5"/>
  <c r="U127" i="5" s="1"/>
  <c r="V127" i="5" s="1"/>
  <c r="T126" i="5"/>
  <c r="U126" i="5" s="1"/>
  <c r="V126" i="5" s="1"/>
  <c r="F120" i="5"/>
  <c r="F113" i="5"/>
  <c r="N16" i="5" l="1"/>
  <c r="G185" i="5"/>
  <c r="G221" i="1"/>
  <c r="E258" i="1"/>
  <c r="U223" i="1"/>
  <c r="H222" i="1"/>
  <c r="F236" i="1" l="1"/>
  <c r="I235" i="1"/>
  <c r="H235" i="1"/>
  <c r="F238" i="1"/>
  <c r="F226" i="1"/>
  <c r="I225" i="1"/>
  <c r="U225" i="1" s="1"/>
  <c r="H225" i="1"/>
  <c r="T225" i="1" s="1"/>
  <c r="I224" i="1"/>
  <c r="U224" i="1" s="1"/>
  <c r="H224" i="1"/>
  <c r="T224" i="1" s="1"/>
  <c r="F221" i="1"/>
  <c r="I221" i="1"/>
  <c r="U221" i="1" s="1"/>
  <c r="G225" i="1"/>
  <c r="F225" i="1"/>
  <c r="F223" i="1"/>
  <c r="F19" i="1"/>
  <c r="K184" i="5" l="1"/>
  <c r="O184" i="5" s="1"/>
  <c r="O148" i="5"/>
  <c r="T148" i="5" s="1"/>
  <c r="M113" i="5"/>
  <c r="K116" i="5"/>
  <c r="K115" i="5"/>
  <c r="Q113" i="5" l="1"/>
  <c r="T113" i="5" l="1"/>
  <c r="U113" i="5" s="1"/>
  <c r="V113" i="5" s="1"/>
  <c r="K59" i="5"/>
  <c r="K58" i="5"/>
  <c r="M58" i="5" s="1"/>
  <c r="I67" i="5"/>
  <c r="H67" i="5"/>
  <c r="N59" i="5"/>
  <c r="N58" i="5"/>
  <c r="M59" i="5" l="1"/>
  <c r="O59" i="5"/>
  <c r="Q59" i="5"/>
  <c r="Q58" i="5"/>
  <c r="O58" i="5"/>
  <c r="T59" i="5" l="1"/>
  <c r="U59" i="5" s="1"/>
  <c r="V59" i="5" s="1"/>
  <c r="T58" i="5"/>
  <c r="U58" i="5" s="1"/>
  <c r="V58" i="5" l="1"/>
  <c r="K31" i="5" l="1"/>
  <c r="K30" i="5"/>
  <c r="K29" i="5"/>
  <c r="N14" i="5" l="1"/>
  <c r="O20" i="5"/>
  <c r="I177" i="5" l="1"/>
  <c r="H177" i="5"/>
  <c r="F188" i="5"/>
  <c r="V188" i="5"/>
  <c r="U188" i="5"/>
  <c r="T188" i="5"/>
  <c r="T187" i="5"/>
  <c r="F168" i="5"/>
  <c r="F85" i="5"/>
  <c r="V168" i="5"/>
  <c r="U168" i="5"/>
  <c r="T168" i="5"/>
  <c r="C19" i="4" s="1"/>
  <c r="T167" i="5"/>
  <c r="F136" i="5"/>
  <c r="V136" i="5"/>
  <c r="U136" i="5"/>
  <c r="T136" i="5"/>
  <c r="C17" i="4" s="1"/>
  <c r="T135" i="5"/>
  <c r="F162" i="5"/>
  <c r="C20" i="4" l="1"/>
  <c r="F185" i="5"/>
  <c r="F94" i="5"/>
  <c r="F97" i="5"/>
  <c r="F89" i="5"/>
  <c r="T84" i="5"/>
  <c r="F22" i="5"/>
  <c r="F78" i="5" l="1"/>
  <c r="F74" i="5"/>
  <c r="F67" i="5"/>
  <c r="E22" i="5"/>
  <c r="F82" i="5" l="1"/>
  <c r="Z17" i="4" l="1"/>
  <c r="Z14" i="4" l="1"/>
  <c r="Z15" i="4" l="1"/>
  <c r="AO21" i="4" l="1"/>
  <c r="Q16" i="5" l="1"/>
  <c r="U201" i="1" l="1"/>
  <c r="T201" i="1"/>
  <c r="J201" i="1"/>
  <c r="O201" i="1"/>
  <c r="N201" i="1" s="1"/>
  <c r="J41" i="1" l="1"/>
  <c r="P41" i="1"/>
  <c r="E37" i="1"/>
  <c r="J34" i="1"/>
  <c r="R34" i="1" l="1"/>
  <c r="O34" i="1"/>
  <c r="N34" i="1" l="1"/>
  <c r="M80" i="5"/>
  <c r="H82" i="5"/>
  <c r="I82" i="5"/>
  <c r="E82" i="5"/>
  <c r="N80" i="5"/>
  <c r="T80" i="5" s="1"/>
  <c r="U80" i="5" s="1"/>
  <c r="V80" i="5" s="1"/>
  <c r="N72" i="5"/>
  <c r="M72" i="5"/>
  <c r="O80" i="5" l="1"/>
  <c r="Q80" i="5"/>
  <c r="O72" i="5"/>
  <c r="Q72" i="5"/>
  <c r="H185" i="5"/>
  <c r="I185" i="5"/>
  <c r="E185" i="5"/>
  <c r="N177" i="5"/>
  <c r="M177" i="5"/>
  <c r="N162" i="5"/>
  <c r="M162" i="5"/>
  <c r="E165" i="5"/>
  <c r="F165" i="5"/>
  <c r="O130" i="5"/>
  <c r="M130" i="5"/>
  <c r="N130" i="5"/>
  <c r="E133" i="5"/>
  <c r="N118" i="5"/>
  <c r="M118" i="5"/>
  <c r="M90" i="5"/>
  <c r="F98" i="5"/>
  <c r="H98" i="5"/>
  <c r="H99" i="5" s="1"/>
  <c r="I98" i="5"/>
  <c r="E98" i="5"/>
  <c r="Q90" i="5"/>
  <c r="M62" i="5"/>
  <c r="Q62" i="5"/>
  <c r="M45" i="5"/>
  <c r="N45" i="5"/>
  <c r="M34" i="5"/>
  <c r="M35" i="5"/>
  <c r="Q34" i="5"/>
  <c r="I34" i="5"/>
  <c r="Q35" i="5"/>
  <c r="M40" i="5"/>
  <c r="P40" i="5"/>
  <c r="R40" i="5"/>
  <c r="N34" i="5" l="1"/>
  <c r="O118" i="5"/>
  <c r="T72" i="5"/>
  <c r="U72" i="5" s="1"/>
  <c r="V72" i="5" s="1"/>
  <c r="O177" i="5"/>
  <c r="Q177" i="5"/>
  <c r="O162" i="5"/>
  <c r="Q162" i="5"/>
  <c r="Q130" i="5"/>
  <c r="T130" i="5" s="1"/>
  <c r="U130" i="5" s="1"/>
  <c r="V130" i="5" s="1"/>
  <c r="Q118" i="5"/>
  <c r="T62" i="5"/>
  <c r="U62" i="5" s="1"/>
  <c r="V62" i="5" s="1"/>
  <c r="O45" i="5"/>
  <c r="Q45" i="5"/>
  <c r="O34" i="5"/>
  <c r="N35" i="5"/>
  <c r="O35" i="5"/>
  <c r="E64" i="5"/>
  <c r="E60" i="5"/>
  <c r="Q149" i="5"/>
  <c r="N149" i="5"/>
  <c r="O149" i="5"/>
  <c r="F146" i="5"/>
  <c r="F153" i="5" s="1"/>
  <c r="E146" i="5"/>
  <c r="E153" i="5" s="1"/>
  <c r="T118" i="5" l="1"/>
  <c r="U118" i="5" s="1"/>
  <c r="V118" i="5" s="1"/>
  <c r="E67" i="5"/>
  <c r="T149" i="5"/>
  <c r="U149" i="5" s="1"/>
  <c r="V149" i="5" s="1"/>
  <c r="T90" i="5"/>
  <c r="U90" i="5" s="1"/>
  <c r="V90" i="5" s="1"/>
  <c r="T162" i="5"/>
  <c r="U162" i="5" s="1"/>
  <c r="V162" i="5" s="1"/>
  <c r="T177" i="5"/>
  <c r="U177" i="5" s="1"/>
  <c r="V177" i="5" s="1"/>
  <c r="T45" i="5"/>
  <c r="U45" i="5" s="1"/>
  <c r="V45" i="5" s="1"/>
  <c r="T34" i="5"/>
  <c r="V34" i="5"/>
  <c r="U34" i="5"/>
  <c r="U35" i="5"/>
  <c r="T35" i="5"/>
  <c r="V35" i="5"/>
  <c r="M149" i="5"/>
  <c r="E46" i="5"/>
  <c r="E44" i="5"/>
  <c r="E36" i="5"/>
  <c r="E40" i="5" l="1"/>
  <c r="E54" i="5"/>
  <c r="F54" i="5"/>
  <c r="M67" i="5" l="1"/>
  <c r="AG28" i="5"/>
  <c r="AF29" i="5" s="1"/>
  <c r="Y155" i="1" l="1"/>
  <c r="Y141" i="1"/>
  <c r="Y131" i="1"/>
  <c r="Y112" i="1"/>
  <c r="AD91" i="1"/>
  <c r="Y91" i="1"/>
  <c r="AD49" i="1"/>
  <c r="Y49" i="1"/>
  <c r="AD35" i="1"/>
  <c r="Y35" i="1"/>
  <c r="AD31" i="1"/>
  <c r="Y31" i="1"/>
  <c r="AD22" i="1"/>
  <c r="Y22" i="1"/>
  <c r="AD9" i="1"/>
  <c r="Y9" i="1"/>
  <c r="AE49" i="1" l="1"/>
  <c r="Z49" i="1"/>
  <c r="U247" i="1"/>
  <c r="T247" i="1"/>
  <c r="U38" i="1"/>
  <c r="H38" i="1"/>
  <c r="T38" i="1" s="1"/>
  <c r="J35" i="1" l="1"/>
  <c r="AB230" i="1" l="1"/>
  <c r="U230" i="1" s="1"/>
  <c r="W230" i="1"/>
  <c r="T230" i="1" s="1"/>
  <c r="AC49" i="1" l="1"/>
  <c r="AB49" i="1" s="1"/>
  <c r="U49" i="1" s="1"/>
  <c r="X49" i="1"/>
  <c r="W49" i="1" s="1"/>
  <c r="T49" i="1" s="1"/>
  <c r="M186" i="5" l="1"/>
  <c r="M185" i="5"/>
  <c r="I186" i="5"/>
  <c r="H186" i="5"/>
  <c r="M184" i="5"/>
  <c r="K183" i="5"/>
  <c r="M183" i="5" s="1"/>
  <c r="G183" i="5"/>
  <c r="K182" i="5"/>
  <c r="M182" i="5" s="1"/>
  <c r="G182" i="5"/>
  <c r="K181" i="5"/>
  <c r="M181" i="5" s="1"/>
  <c r="G181" i="5"/>
  <c r="M180" i="5"/>
  <c r="N180" i="5"/>
  <c r="M179" i="5"/>
  <c r="M178" i="5"/>
  <c r="M176" i="5"/>
  <c r="M175" i="5"/>
  <c r="R174" i="5"/>
  <c r="P174" i="5"/>
  <c r="M173" i="5"/>
  <c r="M166" i="5"/>
  <c r="R165" i="5"/>
  <c r="M165" i="5"/>
  <c r="I166" i="5"/>
  <c r="H166" i="5"/>
  <c r="M164" i="5"/>
  <c r="M163" i="5"/>
  <c r="M160" i="5"/>
  <c r="Q160" i="5"/>
  <c r="M159" i="5"/>
  <c r="M157" i="5"/>
  <c r="Q157" i="5"/>
  <c r="R156" i="5"/>
  <c r="P156" i="5"/>
  <c r="M155" i="5"/>
  <c r="M154" i="5"/>
  <c r="M153" i="5"/>
  <c r="I154" i="5"/>
  <c r="H154" i="5"/>
  <c r="M152" i="5"/>
  <c r="M151" i="5"/>
  <c r="Q151" i="5"/>
  <c r="M148" i="5"/>
  <c r="K146" i="5"/>
  <c r="M146" i="5" s="1"/>
  <c r="M144" i="5"/>
  <c r="M134" i="5"/>
  <c r="M133" i="5"/>
  <c r="M132" i="5"/>
  <c r="O132" i="5"/>
  <c r="M131" i="5"/>
  <c r="O131" i="5"/>
  <c r="M129" i="5"/>
  <c r="O129" i="5"/>
  <c r="M128" i="5"/>
  <c r="M125" i="5"/>
  <c r="Q125" i="5"/>
  <c r="M124" i="5"/>
  <c r="Q124" i="5"/>
  <c r="M123" i="5"/>
  <c r="M122" i="5"/>
  <c r="O122" i="5"/>
  <c r="M121" i="5"/>
  <c r="M120" i="5"/>
  <c r="M119" i="5"/>
  <c r="M117" i="5"/>
  <c r="Q117" i="5"/>
  <c r="M116" i="5"/>
  <c r="M115" i="5"/>
  <c r="M114" i="5"/>
  <c r="Q114" i="5"/>
  <c r="M112" i="5"/>
  <c r="M111" i="5"/>
  <c r="I133" i="5"/>
  <c r="I134" i="5" s="1"/>
  <c r="H133" i="5"/>
  <c r="F111" i="5"/>
  <c r="F133" i="5" s="1"/>
  <c r="M110" i="5"/>
  <c r="Q110" i="5"/>
  <c r="M107" i="5"/>
  <c r="K106" i="5"/>
  <c r="M106" i="5" s="1"/>
  <c r="K105" i="5"/>
  <c r="M105" i="5" s="1"/>
  <c r="S104" i="5"/>
  <c r="R104" i="5"/>
  <c r="P104" i="5"/>
  <c r="M103" i="5"/>
  <c r="M99" i="5"/>
  <c r="M98" i="5"/>
  <c r="I99" i="5"/>
  <c r="M97" i="5"/>
  <c r="O97" i="5"/>
  <c r="M96" i="5"/>
  <c r="O96" i="5"/>
  <c r="M95" i="5"/>
  <c r="O95" i="5"/>
  <c r="M94" i="5"/>
  <c r="O94" i="5"/>
  <c r="M93" i="5"/>
  <c r="M92" i="5"/>
  <c r="N92" i="5"/>
  <c r="M91" i="5"/>
  <c r="G98" i="5"/>
  <c r="M89" i="5"/>
  <c r="M87" i="5"/>
  <c r="M83" i="5"/>
  <c r="M82" i="5"/>
  <c r="N82" i="5"/>
  <c r="M81" i="5"/>
  <c r="M79" i="5"/>
  <c r="Q79" i="5"/>
  <c r="M78" i="5"/>
  <c r="Q78" i="5"/>
  <c r="M77" i="5"/>
  <c r="M76" i="5"/>
  <c r="M75" i="5"/>
  <c r="M74" i="5"/>
  <c r="M73" i="5"/>
  <c r="M71" i="5"/>
  <c r="I83" i="5"/>
  <c r="H83" i="5"/>
  <c r="M69" i="5"/>
  <c r="M68" i="5"/>
  <c r="I68" i="5"/>
  <c r="H68" i="5"/>
  <c r="T66" i="5"/>
  <c r="U66" i="5" s="1"/>
  <c r="V66" i="5" s="1"/>
  <c r="K66" i="5"/>
  <c r="T65" i="5"/>
  <c r="U65" i="5" s="1"/>
  <c r="V65" i="5" s="1"/>
  <c r="K65" i="5"/>
  <c r="M64" i="5"/>
  <c r="O64" i="5"/>
  <c r="M63" i="5"/>
  <c r="M61" i="5"/>
  <c r="M60" i="5"/>
  <c r="R56" i="5"/>
  <c r="P56" i="5"/>
  <c r="M56" i="5"/>
  <c r="M55" i="5"/>
  <c r="M54" i="5"/>
  <c r="T53" i="5"/>
  <c r="U53" i="5" s="1"/>
  <c r="V53" i="5" s="1"/>
  <c r="K53" i="5"/>
  <c r="M53" i="5" s="1"/>
  <c r="T52" i="5"/>
  <c r="U52" i="5" s="1"/>
  <c r="V52" i="5" s="1"/>
  <c r="K52" i="5"/>
  <c r="M52" i="5" s="1"/>
  <c r="T51" i="5"/>
  <c r="U51" i="5" s="1"/>
  <c r="V51" i="5" s="1"/>
  <c r="K51" i="5"/>
  <c r="M51" i="5" s="1"/>
  <c r="M50" i="5"/>
  <c r="M48" i="5"/>
  <c r="M47" i="5"/>
  <c r="M46" i="5"/>
  <c r="M44" i="5"/>
  <c r="M42" i="5"/>
  <c r="M41" i="5"/>
  <c r="K39" i="5"/>
  <c r="M39" i="5" s="1"/>
  <c r="K38" i="5"/>
  <c r="M38" i="5" s="1"/>
  <c r="I38" i="5"/>
  <c r="H38" i="5"/>
  <c r="F38" i="5"/>
  <c r="K37" i="5"/>
  <c r="M37" i="5" s="1"/>
  <c r="Q37" i="5"/>
  <c r="M36" i="5"/>
  <c r="O36" i="5"/>
  <c r="M33" i="5"/>
  <c r="I33" i="5"/>
  <c r="F33" i="5"/>
  <c r="M32" i="5"/>
  <c r="I32" i="5"/>
  <c r="H32" i="5"/>
  <c r="Q32" i="5"/>
  <c r="M31" i="5"/>
  <c r="I31" i="5"/>
  <c r="H31" i="5"/>
  <c r="V30" i="5"/>
  <c r="M30" i="5"/>
  <c r="Q30" i="5"/>
  <c r="M29" i="5"/>
  <c r="S28" i="5"/>
  <c r="R28" i="5"/>
  <c r="R27" i="5" s="1"/>
  <c r="P28" i="5"/>
  <c r="P27" i="5" s="1"/>
  <c r="M27" i="5"/>
  <c r="M23" i="5"/>
  <c r="AC22" i="5"/>
  <c r="AB22" i="5"/>
  <c r="AA22" i="5"/>
  <c r="Z22" i="5"/>
  <c r="Y22" i="5"/>
  <c r="W22" i="5"/>
  <c r="S22" i="5"/>
  <c r="R22" i="5"/>
  <c r="P22" i="5"/>
  <c r="M22" i="5"/>
  <c r="M21" i="5"/>
  <c r="Q21" i="5"/>
  <c r="M20" i="5"/>
  <c r="M18" i="5"/>
  <c r="M17" i="5"/>
  <c r="Q17" i="5"/>
  <c r="M16" i="5"/>
  <c r="M15" i="5"/>
  <c r="M14" i="5"/>
  <c r="S13" i="5"/>
  <c r="R13" i="5"/>
  <c r="R12" i="5" s="1"/>
  <c r="P13" i="5"/>
  <c r="P12" i="5" s="1"/>
  <c r="P196" i="5" s="1"/>
  <c r="O121" i="5" l="1"/>
  <c r="Q121" i="5"/>
  <c r="O77" i="5"/>
  <c r="Q75" i="5"/>
  <c r="G83" i="5"/>
  <c r="Q184" i="5"/>
  <c r="F40" i="5"/>
  <c r="I40" i="5"/>
  <c r="V40" i="5" s="1"/>
  <c r="O15" i="5"/>
  <c r="G166" i="5"/>
  <c r="O89" i="5"/>
  <c r="N91" i="5"/>
  <c r="O91" i="5"/>
  <c r="Q120" i="5"/>
  <c r="H40" i="5"/>
  <c r="O46" i="5"/>
  <c r="O119" i="5"/>
  <c r="N33" i="5"/>
  <c r="O33" i="5"/>
  <c r="O60" i="5"/>
  <c r="O67" i="5"/>
  <c r="O14" i="5"/>
  <c r="Q50" i="5"/>
  <c r="S23" i="5"/>
  <c r="O182" i="5"/>
  <c r="O183" i="5"/>
  <c r="O76" i="5"/>
  <c r="O175" i="5"/>
  <c r="O44" i="5"/>
  <c r="Q64" i="5"/>
  <c r="O179" i="5"/>
  <c r="I23" i="5"/>
  <c r="V23" i="5" s="1"/>
  <c r="U22" i="5"/>
  <c r="H23" i="5"/>
  <c r="U23" i="5" s="1"/>
  <c r="AB10" i="5" s="1"/>
  <c r="O48" i="5"/>
  <c r="O71" i="5"/>
  <c r="O74" i="5"/>
  <c r="O93" i="5"/>
  <c r="O105" i="5"/>
  <c r="O106" i="5"/>
  <c r="H134" i="5"/>
  <c r="O115" i="5"/>
  <c r="O116" i="5"/>
  <c r="O176" i="5"/>
  <c r="Q180" i="5"/>
  <c r="O81" i="5"/>
  <c r="Q81" i="5"/>
  <c r="O128" i="5"/>
  <c r="Q128" i="5"/>
  <c r="N75" i="5"/>
  <c r="N106" i="5"/>
  <c r="N110" i="5"/>
  <c r="N114" i="5"/>
  <c r="N117" i="5"/>
  <c r="Q131" i="5"/>
  <c r="N157" i="5"/>
  <c r="N164" i="5"/>
  <c r="N182" i="5"/>
  <c r="Q14" i="5"/>
  <c r="Q15" i="5"/>
  <c r="O17" i="5"/>
  <c r="N17" i="5"/>
  <c r="O18" i="5"/>
  <c r="Q20" i="5"/>
  <c r="O37" i="5"/>
  <c r="N37" i="5"/>
  <c r="O39" i="5"/>
  <c r="Q47" i="5"/>
  <c r="N50" i="5"/>
  <c r="O61" i="5"/>
  <c r="Q63" i="5"/>
  <c r="Q71" i="5"/>
  <c r="Q73" i="5"/>
  <c r="O78" i="5"/>
  <c r="Q91" i="5"/>
  <c r="Q92" i="5"/>
  <c r="Q96" i="5"/>
  <c r="Q105" i="5"/>
  <c r="Q106" i="5"/>
  <c r="O120" i="5"/>
  <c r="N120" i="5"/>
  <c r="O125" i="5"/>
  <c r="O151" i="5"/>
  <c r="N151" i="5"/>
  <c r="O160" i="5"/>
  <c r="N160" i="5"/>
  <c r="M161" i="5"/>
  <c r="Q164" i="5"/>
  <c r="Q178" i="5"/>
  <c r="O181" i="5"/>
  <c r="Q182" i="5"/>
  <c r="N184" i="5"/>
  <c r="R196" i="5"/>
  <c r="N15" i="5"/>
  <c r="N20" i="5"/>
  <c r="N63" i="5"/>
  <c r="N71" i="5"/>
  <c r="O79" i="5"/>
  <c r="Q94" i="5"/>
  <c r="N105" i="5"/>
  <c r="O124" i="5"/>
  <c r="Q38" i="5"/>
  <c r="O38" i="5"/>
  <c r="N38" i="5"/>
  <c r="Q146" i="5"/>
  <c r="N146" i="5"/>
  <c r="Q159" i="5"/>
  <c r="N159" i="5"/>
  <c r="Q74" i="5"/>
  <c r="N74" i="5"/>
  <c r="Q89" i="5"/>
  <c r="N89" i="5"/>
  <c r="Q107" i="5"/>
  <c r="N107" i="5"/>
  <c r="Q112" i="5"/>
  <c r="N112" i="5"/>
  <c r="Q116" i="5"/>
  <c r="Q123" i="5"/>
  <c r="N123" i="5"/>
  <c r="Q152" i="5"/>
  <c r="N152" i="5"/>
  <c r="Q161" i="5"/>
  <c r="N161" i="5"/>
  <c r="Q175" i="5"/>
  <c r="N175" i="5"/>
  <c r="Q176" i="5"/>
  <c r="N176" i="5"/>
  <c r="Q183" i="5"/>
  <c r="N183" i="5"/>
  <c r="O21" i="5"/>
  <c r="O30" i="5"/>
  <c r="Q33" i="5"/>
  <c r="N95" i="5"/>
  <c r="N122" i="5"/>
  <c r="N129" i="5"/>
  <c r="N18" i="5"/>
  <c r="Q18" i="5"/>
  <c r="N21" i="5"/>
  <c r="V22" i="5"/>
  <c r="Q29" i="5"/>
  <c r="N30" i="5"/>
  <c r="G31" i="5"/>
  <c r="G40" i="5" s="1"/>
  <c r="G41" i="5" s="1"/>
  <c r="N36" i="5"/>
  <c r="Q36" i="5"/>
  <c r="N39" i="5"/>
  <c r="Q39" i="5"/>
  <c r="Q44" i="5"/>
  <c r="N46" i="5"/>
  <c r="N48" i="5"/>
  <c r="Q48" i="5"/>
  <c r="O50" i="5"/>
  <c r="N60" i="5"/>
  <c r="Q60" i="5"/>
  <c r="N61" i="5"/>
  <c r="Q61" i="5"/>
  <c r="N64" i="5"/>
  <c r="O75" i="5"/>
  <c r="N81" i="5"/>
  <c r="T81" i="5" s="1"/>
  <c r="U81" i="5" s="1"/>
  <c r="V81" i="5" s="1"/>
  <c r="O92" i="5"/>
  <c r="N94" i="5"/>
  <c r="Q95" i="5"/>
  <c r="N96" i="5"/>
  <c r="Q97" i="5"/>
  <c r="G99" i="5"/>
  <c r="O110" i="5"/>
  <c r="O114" i="5"/>
  <c r="Q115" i="5"/>
  <c r="O117" i="5"/>
  <c r="N121" i="5"/>
  <c r="Q122" i="5"/>
  <c r="O123" i="5"/>
  <c r="N128" i="5"/>
  <c r="Q129" i="5"/>
  <c r="N131" i="5"/>
  <c r="Q132" i="5"/>
  <c r="O146" i="5"/>
  <c r="O157" i="5"/>
  <c r="O159" i="5"/>
  <c r="O180" i="5"/>
  <c r="Q76" i="5"/>
  <c r="N76" i="5"/>
  <c r="Q77" i="5"/>
  <c r="Q93" i="5"/>
  <c r="N93" i="5"/>
  <c r="Q119" i="5"/>
  <c r="N119" i="5"/>
  <c r="Q163" i="5"/>
  <c r="N163" i="5"/>
  <c r="Q179" i="5"/>
  <c r="N179" i="5"/>
  <c r="Q181" i="5"/>
  <c r="N181" i="5"/>
  <c r="O29" i="5"/>
  <c r="N97" i="5"/>
  <c r="N115" i="5"/>
  <c r="N132" i="5"/>
  <c r="G186" i="5"/>
  <c r="N78" i="5"/>
  <c r="T78" i="5" s="1"/>
  <c r="U78" i="5" s="1"/>
  <c r="V78" i="5" s="1"/>
  <c r="N79" i="5"/>
  <c r="T79" i="5" s="1"/>
  <c r="U79" i="5" s="1"/>
  <c r="V79" i="5" s="1"/>
  <c r="N124" i="5"/>
  <c r="N125" i="5"/>
  <c r="N13" i="5" l="1"/>
  <c r="N12" i="5" s="1"/>
  <c r="Q145" i="5"/>
  <c r="J18" i="4" s="1"/>
  <c r="Q13" i="5"/>
  <c r="T63" i="5"/>
  <c r="U63" i="5" s="1"/>
  <c r="V63" i="5" s="1"/>
  <c r="Q43" i="5"/>
  <c r="O13" i="5"/>
  <c r="O12" i="5" s="1"/>
  <c r="U40" i="5"/>
  <c r="H41" i="5"/>
  <c r="G134" i="5"/>
  <c r="O104" i="5"/>
  <c r="N57" i="5"/>
  <c r="O57" i="5"/>
  <c r="O56" i="5" s="1"/>
  <c r="T121" i="5"/>
  <c r="U121" i="5" s="1"/>
  <c r="V121" i="5" s="1"/>
  <c r="T92" i="5"/>
  <c r="U92" i="5" s="1"/>
  <c r="V92" i="5" s="1"/>
  <c r="Q57" i="5"/>
  <c r="N77" i="5"/>
  <c r="T77" i="5" s="1"/>
  <c r="U77" i="5" s="1"/>
  <c r="V77" i="5" s="1"/>
  <c r="T180" i="5"/>
  <c r="U180" i="5" s="1"/>
  <c r="V180" i="5" s="1"/>
  <c r="V33" i="5"/>
  <c r="T73" i="5"/>
  <c r="U73" i="5" s="1"/>
  <c r="V73" i="5" s="1"/>
  <c r="U37" i="5"/>
  <c r="V37" i="5" s="1"/>
  <c r="T71" i="5"/>
  <c r="U41" i="5"/>
  <c r="T125" i="5"/>
  <c r="U125" i="5" s="1"/>
  <c r="V125" i="5" s="1"/>
  <c r="T164" i="5"/>
  <c r="U164" i="5" s="1"/>
  <c r="V164" i="5" s="1"/>
  <c r="Q41" i="5"/>
  <c r="O174" i="5"/>
  <c r="O173" i="5" s="1"/>
  <c r="O43" i="5"/>
  <c r="O42" i="5" s="1"/>
  <c r="I41" i="5"/>
  <c r="V41" i="5" s="1"/>
  <c r="G68" i="5"/>
  <c r="S68" i="5" s="1"/>
  <c r="G154" i="5"/>
  <c r="S154" i="5" s="1"/>
  <c r="O54" i="5"/>
  <c r="S55" i="5"/>
  <c r="E13" i="4" s="1"/>
  <c r="U32" i="5"/>
  <c r="O22" i="5"/>
  <c r="T20" i="5"/>
  <c r="U20" i="5" s="1"/>
  <c r="V20" i="5" s="1"/>
  <c r="T132" i="5"/>
  <c r="U132" i="5" s="1"/>
  <c r="V132" i="5" s="1"/>
  <c r="T97" i="5"/>
  <c r="U97" i="5" s="1"/>
  <c r="V97" i="5" s="1"/>
  <c r="T178" i="5"/>
  <c r="U178" i="5" s="1"/>
  <c r="V178" i="5" s="1"/>
  <c r="T131" i="5"/>
  <c r="U131" i="5" s="1"/>
  <c r="V131" i="5" s="1"/>
  <c r="T114" i="5"/>
  <c r="U114" i="5" s="1"/>
  <c r="V114" i="5" s="1"/>
  <c r="T96" i="5"/>
  <c r="U96" i="5" s="1"/>
  <c r="V96" i="5" s="1"/>
  <c r="T91" i="5"/>
  <c r="U91" i="5" s="1"/>
  <c r="V91" i="5" s="1"/>
  <c r="T33" i="5"/>
  <c r="N54" i="5"/>
  <c r="T151" i="5"/>
  <c r="T120" i="5"/>
  <c r="U120" i="5" s="1"/>
  <c r="V120" i="5" s="1"/>
  <c r="T37" i="5"/>
  <c r="T110" i="5"/>
  <c r="U110" i="5" s="1"/>
  <c r="V110" i="5" s="1"/>
  <c r="T106" i="5"/>
  <c r="U106" i="5" s="1"/>
  <c r="V106" i="5" s="1"/>
  <c r="T15" i="5"/>
  <c r="T124" i="5"/>
  <c r="U124" i="5" s="1"/>
  <c r="V124" i="5" s="1"/>
  <c r="T184" i="5"/>
  <c r="U184" i="5" s="1"/>
  <c r="V184" i="5" s="1"/>
  <c r="T128" i="5"/>
  <c r="U128" i="5" s="1"/>
  <c r="V128" i="5" s="1"/>
  <c r="T117" i="5"/>
  <c r="U117" i="5" s="1"/>
  <c r="V117" i="5" s="1"/>
  <c r="T94" i="5"/>
  <c r="U94" i="5" s="1"/>
  <c r="V94" i="5" s="1"/>
  <c r="O70" i="5"/>
  <c r="I15" i="4" s="1"/>
  <c r="T50" i="5"/>
  <c r="U50" i="5" s="1"/>
  <c r="V50" i="5" s="1"/>
  <c r="T30" i="5"/>
  <c r="T21" i="5"/>
  <c r="U21" i="5" s="1"/>
  <c r="V21" i="5" s="1"/>
  <c r="T105" i="5"/>
  <c r="U105" i="5" s="1"/>
  <c r="T160" i="5"/>
  <c r="U160" i="5" s="1"/>
  <c r="V160" i="5" s="1"/>
  <c r="T17" i="5"/>
  <c r="U17" i="5" s="1"/>
  <c r="V17" i="5" s="1"/>
  <c r="T47" i="5"/>
  <c r="U47" i="5" s="1"/>
  <c r="V47" i="5" s="1"/>
  <c r="M11" i="4"/>
  <c r="E11" i="4"/>
  <c r="T115" i="5"/>
  <c r="U115" i="5" s="1"/>
  <c r="V115" i="5" s="1"/>
  <c r="T181" i="5"/>
  <c r="U181" i="5" s="1"/>
  <c r="V181" i="5" s="1"/>
  <c r="T179" i="5"/>
  <c r="U179" i="5" s="1"/>
  <c r="V179" i="5" s="1"/>
  <c r="T163" i="5"/>
  <c r="U163" i="5" s="1"/>
  <c r="V163" i="5" s="1"/>
  <c r="T119" i="5"/>
  <c r="U119" i="5" s="1"/>
  <c r="V119" i="5" s="1"/>
  <c r="T93" i="5"/>
  <c r="U93" i="5" s="1"/>
  <c r="V93" i="5" s="1"/>
  <c r="T76" i="5"/>
  <c r="U76" i="5" s="1"/>
  <c r="V76" i="5" s="1"/>
  <c r="Q67" i="5"/>
  <c r="N22" i="5"/>
  <c r="Q22" i="5"/>
  <c r="Q54" i="5"/>
  <c r="N67" i="5"/>
  <c r="T67" i="5" s="1"/>
  <c r="Q70" i="5"/>
  <c r="J15" i="4" s="1"/>
  <c r="T64" i="5"/>
  <c r="U64" i="5" s="1"/>
  <c r="V64" i="5" s="1"/>
  <c r="T61" i="5"/>
  <c r="T46" i="5"/>
  <c r="U46" i="5" s="1"/>
  <c r="V46" i="5" s="1"/>
  <c r="T16" i="5"/>
  <c r="U16" i="5" s="1"/>
  <c r="V16" i="5" s="1"/>
  <c r="T183" i="5"/>
  <c r="U183" i="5" s="1"/>
  <c r="V183" i="5" s="1"/>
  <c r="T176" i="5"/>
  <c r="U176" i="5" s="1"/>
  <c r="V176" i="5" s="1"/>
  <c r="T161" i="5"/>
  <c r="U161" i="5" s="1"/>
  <c r="V161" i="5" s="1"/>
  <c r="T152" i="5"/>
  <c r="U152" i="5" s="1"/>
  <c r="V152" i="5" s="1"/>
  <c r="T116" i="5"/>
  <c r="U116" i="5" s="1"/>
  <c r="V116" i="5" s="1"/>
  <c r="T112" i="5"/>
  <c r="U112" i="5" s="1"/>
  <c r="V112" i="5" s="1"/>
  <c r="T74" i="5"/>
  <c r="U74" i="5" s="1"/>
  <c r="V74" i="5" s="1"/>
  <c r="T182" i="5"/>
  <c r="U182" i="5" s="1"/>
  <c r="V182" i="5" s="1"/>
  <c r="O88" i="5"/>
  <c r="O87" i="5" s="1"/>
  <c r="O185" i="5"/>
  <c r="N185" i="5"/>
  <c r="S186" i="5"/>
  <c r="Q185" i="5"/>
  <c r="Q165" i="5"/>
  <c r="O165" i="5"/>
  <c r="S166" i="5"/>
  <c r="N165" i="5"/>
  <c r="O98" i="5"/>
  <c r="Q98" i="5"/>
  <c r="N98" i="5"/>
  <c r="S99" i="5"/>
  <c r="U36" i="5"/>
  <c r="V36" i="5" s="1"/>
  <c r="T36" i="5"/>
  <c r="T32" i="5"/>
  <c r="V32" i="5"/>
  <c r="T29" i="5"/>
  <c r="T18" i="5"/>
  <c r="U18" i="5" s="1"/>
  <c r="V18" i="5" s="1"/>
  <c r="T146" i="5"/>
  <c r="N145" i="5"/>
  <c r="N153" i="5"/>
  <c r="O153" i="5"/>
  <c r="S12" i="5"/>
  <c r="T23" i="5"/>
  <c r="O156" i="5"/>
  <c r="O145" i="5"/>
  <c r="T75" i="5"/>
  <c r="T48" i="5"/>
  <c r="U48" i="5" s="1"/>
  <c r="V48" i="5" s="1"/>
  <c r="T129" i="5"/>
  <c r="U129" i="5" s="1"/>
  <c r="V129" i="5" s="1"/>
  <c r="Q174" i="5"/>
  <c r="T157" i="5"/>
  <c r="Q88" i="5"/>
  <c r="T159" i="5"/>
  <c r="U159" i="5" s="1"/>
  <c r="V159" i="5" s="1"/>
  <c r="U33" i="5"/>
  <c r="T60" i="5"/>
  <c r="T44" i="5"/>
  <c r="T43" i="5" s="1"/>
  <c r="N43" i="5"/>
  <c r="U39" i="5"/>
  <c r="T39" i="5"/>
  <c r="N31" i="5"/>
  <c r="N28" i="5" s="1"/>
  <c r="O31" i="5"/>
  <c r="O28" i="5" s="1"/>
  <c r="Q31" i="5"/>
  <c r="Q28" i="5" s="1"/>
  <c r="O82" i="5"/>
  <c r="Q82" i="5"/>
  <c r="S83" i="5"/>
  <c r="N174" i="5"/>
  <c r="T175" i="5"/>
  <c r="T89" i="5"/>
  <c r="N88" i="5"/>
  <c r="N87" i="5" s="1"/>
  <c r="N111" i="5"/>
  <c r="N104" i="5" s="1"/>
  <c r="Q111" i="5"/>
  <c r="Q104" i="5" s="1"/>
  <c r="J17" i="4" s="1"/>
  <c r="T38" i="5"/>
  <c r="U38" i="5"/>
  <c r="V38" i="5" s="1"/>
  <c r="T122" i="5"/>
  <c r="U122" i="5" s="1"/>
  <c r="V122" i="5" s="1"/>
  <c r="T95" i="5"/>
  <c r="U95" i="5" s="1"/>
  <c r="V95" i="5" s="1"/>
  <c r="N156" i="5"/>
  <c r="T123" i="5"/>
  <c r="U123" i="5" s="1"/>
  <c r="V123" i="5" s="1"/>
  <c r="T107" i="5"/>
  <c r="U107" i="5" s="1"/>
  <c r="V107" i="5" s="1"/>
  <c r="Q156" i="5"/>
  <c r="T14" i="5"/>
  <c r="T13" i="5" l="1"/>
  <c r="U15" i="5"/>
  <c r="V15" i="5" s="1"/>
  <c r="Q144" i="5"/>
  <c r="Q12" i="5"/>
  <c r="T145" i="5"/>
  <c r="B18" i="4" s="1"/>
  <c r="T153" i="5"/>
  <c r="Q205" i="5"/>
  <c r="U75" i="5"/>
  <c r="V75" i="5" s="1"/>
  <c r="T70" i="5"/>
  <c r="B15" i="4" s="1"/>
  <c r="U61" i="5"/>
  <c r="V61" i="5" s="1"/>
  <c r="T57" i="5"/>
  <c r="U148" i="5"/>
  <c r="V148" i="5" s="1"/>
  <c r="G20" i="4"/>
  <c r="G19" i="4"/>
  <c r="G17" i="4"/>
  <c r="N70" i="5"/>
  <c r="G15" i="4" s="1"/>
  <c r="U71" i="5"/>
  <c r="V71" i="5" s="1"/>
  <c r="U151" i="5"/>
  <c r="V151" i="5" s="1"/>
  <c r="I14" i="4"/>
  <c r="T54" i="5"/>
  <c r="U54" i="5" s="1"/>
  <c r="V54" i="5" s="1"/>
  <c r="S41" i="5"/>
  <c r="E12" i="4" s="1"/>
  <c r="G196" i="5"/>
  <c r="I20" i="4"/>
  <c r="N40" i="5"/>
  <c r="O40" i="5"/>
  <c r="Q40" i="5"/>
  <c r="O69" i="5"/>
  <c r="I16" i="4"/>
  <c r="I13" i="4"/>
  <c r="E14" i="4"/>
  <c r="S56" i="5"/>
  <c r="M14" i="4"/>
  <c r="T68" i="5"/>
  <c r="U68" i="5" s="1"/>
  <c r="AA57" i="5" s="1"/>
  <c r="T55" i="5"/>
  <c r="U55" i="5" s="1"/>
  <c r="AA43" i="5" s="1"/>
  <c r="M13" i="4"/>
  <c r="S42" i="5"/>
  <c r="U67" i="5"/>
  <c r="V67" i="5" s="1"/>
  <c r="Q155" i="5"/>
  <c r="X155" i="5" s="1"/>
  <c r="Y155" i="5" s="1"/>
  <c r="J19" i="4"/>
  <c r="Q69" i="5"/>
  <c r="X69" i="5" s="1"/>
  <c r="Y69" i="5" s="1"/>
  <c r="K15" i="4"/>
  <c r="D15" i="4"/>
  <c r="J12" i="4"/>
  <c r="Q87" i="5"/>
  <c r="AB87" i="5" s="1"/>
  <c r="AC87" i="5" s="1"/>
  <c r="J16" i="4"/>
  <c r="Q173" i="5"/>
  <c r="X173" i="5" s="1"/>
  <c r="Y173" i="5" s="1"/>
  <c r="J20" i="4"/>
  <c r="Q42" i="5"/>
  <c r="J13" i="4"/>
  <c r="Q56" i="5"/>
  <c r="X56" i="5" s="1"/>
  <c r="Y56" i="5" s="1"/>
  <c r="J14" i="4"/>
  <c r="K18" i="4"/>
  <c r="L18" i="4" s="1"/>
  <c r="D18" i="4"/>
  <c r="M19" i="4"/>
  <c r="E19" i="4"/>
  <c r="K19" i="4"/>
  <c r="D19" i="4"/>
  <c r="M20" i="4"/>
  <c r="E20" i="4"/>
  <c r="D12" i="4"/>
  <c r="M12" i="4"/>
  <c r="K11" i="4"/>
  <c r="D11" i="4"/>
  <c r="K14" i="4"/>
  <c r="D14" i="4"/>
  <c r="AB144" i="5"/>
  <c r="AC144" i="5" s="1"/>
  <c r="M15" i="4"/>
  <c r="E15" i="4"/>
  <c r="M18" i="4"/>
  <c r="E18" i="4"/>
  <c r="E16" i="4"/>
  <c r="M16" i="4"/>
  <c r="K16" i="4"/>
  <c r="D16" i="4"/>
  <c r="K20" i="4"/>
  <c r="D20" i="4"/>
  <c r="K13" i="4"/>
  <c r="D13" i="4"/>
  <c r="T22" i="5"/>
  <c r="T165" i="5"/>
  <c r="O103" i="5"/>
  <c r="I17" i="4"/>
  <c r="U14" i="5"/>
  <c r="U13" i="5" s="1"/>
  <c r="U12" i="5" s="1"/>
  <c r="X144" i="5"/>
  <c r="Y144" i="5" s="1"/>
  <c r="O27" i="5"/>
  <c r="I12" i="4"/>
  <c r="U89" i="5"/>
  <c r="T88" i="5"/>
  <c r="U44" i="5"/>
  <c r="U60" i="5"/>
  <c r="U57" i="5" s="1"/>
  <c r="T156" i="5"/>
  <c r="U157" i="5"/>
  <c r="O155" i="5"/>
  <c r="I19" i="4"/>
  <c r="N144" i="5"/>
  <c r="G18" i="4"/>
  <c r="G11" i="4"/>
  <c r="P11" i="4" s="1"/>
  <c r="U29" i="5"/>
  <c r="V166" i="5"/>
  <c r="T166" i="5"/>
  <c r="S155" i="5"/>
  <c r="U166" i="5"/>
  <c r="AA156" i="5" s="1"/>
  <c r="V105" i="5"/>
  <c r="T31" i="5"/>
  <c r="U31" i="5" s="1"/>
  <c r="V31" i="5" s="1"/>
  <c r="T98" i="5"/>
  <c r="U98" i="5" s="1"/>
  <c r="V98" i="5" s="1"/>
  <c r="T185" i="5"/>
  <c r="S134" i="5"/>
  <c r="Q133" i="5"/>
  <c r="O133" i="5"/>
  <c r="G16" i="4"/>
  <c r="U175" i="5"/>
  <c r="T174" i="5"/>
  <c r="T83" i="5"/>
  <c r="U83" i="5" s="1"/>
  <c r="S69" i="5"/>
  <c r="N42" i="5"/>
  <c r="G13" i="4"/>
  <c r="G14" i="4"/>
  <c r="N56" i="5"/>
  <c r="O144" i="5"/>
  <c r="I18" i="4"/>
  <c r="T154" i="5"/>
  <c r="U154" i="5" s="1"/>
  <c r="S144" i="5"/>
  <c r="U146" i="5"/>
  <c r="T99" i="5"/>
  <c r="U99" i="5" s="1"/>
  <c r="V99" i="5" s="1"/>
  <c r="S87" i="5"/>
  <c r="T186" i="5"/>
  <c r="U186" i="5" s="1"/>
  <c r="S173" i="5"/>
  <c r="T111" i="5"/>
  <c r="U111" i="5" s="1"/>
  <c r="V111" i="5" s="1"/>
  <c r="T82" i="5"/>
  <c r="W76" i="5"/>
  <c r="U153" i="5"/>
  <c r="V153" i="5" s="1"/>
  <c r="Y144" i="1"/>
  <c r="E148" i="1"/>
  <c r="T155" i="5" l="1"/>
  <c r="B16" i="4"/>
  <c r="T87" i="5"/>
  <c r="T12" i="5"/>
  <c r="U185" i="5"/>
  <c r="V185" i="5" s="1"/>
  <c r="U165" i="5"/>
  <c r="V165" i="5" s="1"/>
  <c r="U82" i="5"/>
  <c r="V82" i="5" s="1"/>
  <c r="V70" i="5"/>
  <c r="U70" i="5"/>
  <c r="Q27" i="5"/>
  <c r="Q206" i="5"/>
  <c r="Q207" i="5" s="1"/>
  <c r="AB42" i="5"/>
  <c r="AC42" i="5" s="1"/>
  <c r="V68" i="5"/>
  <c r="N69" i="5"/>
  <c r="B20" i="4"/>
  <c r="B19" i="4"/>
  <c r="T104" i="5"/>
  <c r="T41" i="5"/>
  <c r="S27" i="5"/>
  <c r="E154" i="1"/>
  <c r="V55" i="5"/>
  <c r="AB27" i="5"/>
  <c r="AC27" i="5" s="1"/>
  <c r="T40" i="5"/>
  <c r="K12" i="4"/>
  <c r="AB56" i="5"/>
  <c r="X87" i="5"/>
  <c r="Y87" i="5" s="1"/>
  <c r="AB155" i="5"/>
  <c r="AC155" i="5" s="1"/>
  <c r="AB173" i="5"/>
  <c r="AC173" i="5" s="1"/>
  <c r="AB69" i="5"/>
  <c r="AC69" i="5" s="1"/>
  <c r="X42" i="5"/>
  <c r="Y42" i="5" s="1"/>
  <c r="AD144" i="1"/>
  <c r="AE144" i="1"/>
  <c r="AC144" i="1"/>
  <c r="U104" i="5"/>
  <c r="V104" i="5"/>
  <c r="E17" i="4"/>
  <c r="M17" i="4"/>
  <c r="AB12" i="5"/>
  <c r="AC12" i="5" s="1"/>
  <c r="X12" i="5"/>
  <c r="Y12" i="5" s="1"/>
  <c r="T133" i="5"/>
  <c r="U133" i="5" s="1"/>
  <c r="V133" i="5" s="1"/>
  <c r="K17" i="4"/>
  <c r="D17" i="4"/>
  <c r="T56" i="5"/>
  <c r="B14" i="4"/>
  <c r="T42" i="5"/>
  <c r="B13" i="4"/>
  <c r="T197" i="5"/>
  <c r="Q197" i="5"/>
  <c r="V186" i="5"/>
  <c r="AA174" i="5"/>
  <c r="AA88" i="5"/>
  <c r="U145" i="5"/>
  <c r="U144" i="5" s="1"/>
  <c r="V146" i="5"/>
  <c r="V145" i="5" s="1"/>
  <c r="V154" i="5"/>
  <c r="AA145" i="5"/>
  <c r="V83" i="5"/>
  <c r="AA70" i="5"/>
  <c r="U174" i="5"/>
  <c r="V175" i="5"/>
  <c r="V174" i="5" s="1"/>
  <c r="V173" i="5" s="1"/>
  <c r="V29" i="5"/>
  <c r="V28" i="5" s="1"/>
  <c r="V27" i="5" s="1"/>
  <c r="U28" i="5"/>
  <c r="U27" i="5" s="1"/>
  <c r="X29" i="5" s="1"/>
  <c r="N27" i="5"/>
  <c r="G12" i="4"/>
  <c r="T134" i="5"/>
  <c r="U134" i="5" s="1"/>
  <c r="S103" i="5"/>
  <c r="S196" i="5" s="1"/>
  <c r="V157" i="5"/>
  <c r="V156" i="5" s="1"/>
  <c r="U156" i="5"/>
  <c r="U155" i="5" s="1"/>
  <c r="V60" i="5"/>
  <c r="U56" i="5"/>
  <c r="U43" i="5"/>
  <c r="U42" i="5" s="1"/>
  <c r="V44" i="5"/>
  <c r="V43" i="5" s="1"/>
  <c r="V89" i="5"/>
  <c r="V88" i="5" s="1"/>
  <c r="V87" i="5" s="1"/>
  <c r="U88" i="5"/>
  <c r="U87" i="5" s="1"/>
  <c r="V14" i="5"/>
  <c r="Q103" i="5"/>
  <c r="T144" i="5"/>
  <c r="T28" i="5"/>
  <c r="O196" i="5"/>
  <c r="Y102" i="1"/>
  <c r="F106" i="1"/>
  <c r="F105" i="1"/>
  <c r="E106" i="1"/>
  <c r="E105" i="1"/>
  <c r="F73" i="1"/>
  <c r="E73" i="1"/>
  <c r="R49" i="1"/>
  <c r="T103" i="5" l="1"/>
  <c r="U103" i="5"/>
  <c r="V155" i="5"/>
  <c r="V69" i="5"/>
  <c r="Q196" i="5"/>
  <c r="Q209" i="5" s="1"/>
  <c r="X27" i="5"/>
  <c r="Y27" i="5" s="1"/>
  <c r="V13" i="5"/>
  <c r="V12" i="5" s="1"/>
  <c r="N196" i="5"/>
  <c r="X105" i="5"/>
  <c r="B17" i="4"/>
  <c r="V57" i="5"/>
  <c r="V56" i="5" s="1"/>
  <c r="V42" i="5"/>
  <c r="AB144" i="1"/>
  <c r="U144" i="1" s="1"/>
  <c r="AD62" i="1"/>
  <c r="AC62" i="1"/>
  <c r="AE62" i="1"/>
  <c r="H73" i="1"/>
  <c r="Y62" i="1"/>
  <c r="Z62" i="1"/>
  <c r="X62" i="1"/>
  <c r="I73" i="1"/>
  <c r="AD102" i="1"/>
  <c r="AE102" i="1"/>
  <c r="AC102" i="1"/>
  <c r="T27" i="5"/>
  <c r="B12" i="4"/>
  <c r="V144" i="5"/>
  <c r="X14" i="5"/>
  <c r="X22" i="5" s="1"/>
  <c r="AA11" i="5"/>
  <c r="AB88" i="5"/>
  <c r="X91" i="5"/>
  <c r="X60" i="5"/>
  <c r="AB57" i="5"/>
  <c r="AB156" i="5"/>
  <c r="X160" i="5"/>
  <c r="AB103" i="5"/>
  <c r="AC103" i="5" s="1"/>
  <c r="X103" i="5"/>
  <c r="Y103" i="5" s="1"/>
  <c r="X44" i="5"/>
  <c r="AB43" i="5"/>
  <c r="V134" i="5"/>
  <c r="V103" i="5" s="1"/>
  <c r="AA104" i="5"/>
  <c r="X175" i="5"/>
  <c r="AB174" i="5"/>
  <c r="X146" i="5"/>
  <c r="AB145" i="5"/>
  <c r="AB104" i="5" l="1"/>
  <c r="AB102" i="1"/>
  <c r="U102" i="1" s="1"/>
  <c r="V196" i="5"/>
  <c r="AB62" i="1"/>
  <c r="W62" i="1"/>
  <c r="T62" i="1" s="1"/>
  <c r="AB219" i="1"/>
  <c r="U219" i="1" s="1"/>
  <c r="W219" i="1"/>
  <c r="T219" i="1" s="1"/>
  <c r="I29" i="1" l="1"/>
  <c r="H29" i="1"/>
  <c r="F29" i="1"/>
  <c r="F25" i="1"/>
  <c r="P16" i="4" l="1"/>
  <c r="I191" i="1" l="1"/>
  <c r="H191" i="1"/>
  <c r="F191" i="1"/>
  <c r="O120" i="1"/>
  <c r="F154" i="1" l="1"/>
  <c r="J63" i="1"/>
  <c r="E79" i="1"/>
  <c r="F79" i="1"/>
  <c r="R63" i="1" l="1"/>
  <c r="P63" i="1"/>
  <c r="O63" i="1"/>
  <c r="N63" i="1" l="1"/>
  <c r="F30" i="1"/>
  <c r="Z13" i="4" l="1"/>
  <c r="R12" i="4"/>
  <c r="W21" i="4" l="1"/>
  <c r="W24" i="4" s="1"/>
  <c r="K245" i="1" l="1"/>
  <c r="K239" i="1"/>
  <c r="K228" i="1"/>
  <c r="J145" i="1"/>
  <c r="J103" i="1"/>
  <c r="P212" i="1"/>
  <c r="K204" i="1"/>
  <c r="K196" i="1"/>
  <c r="K184" i="1"/>
  <c r="K159" i="1"/>
  <c r="K153" i="1"/>
  <c r="K142" i="1"/>
  <c r="O142" i="1" s="1"/>
  <c r="I154" i="1"/>
  <c r="H154" i="1"/>
  <c r="K118" i="1"/>
  <c r="K110" i="1"/>
  <c r="K100" i="1"/>
  <c r="K78" i="1"/>
  <c r="K72" i="1"/>
  <c r="K60" i="1"/>
  <c r="O60" i="1" s="1"/>
  <c r="K36" i="1"/>
  <c r="K29" i="1"/>
  <c r="K20" i="1"/>
  <c r="E111" i="1"/>
  <c r="I111" i="1"/>
  <c r="T29" i="1" l="1"/>
  <c r="U29" i="1"/>
  <c r="T60" i="1"/>
  <c r="U60" i="1"/>
  <c r="U78" i="1"/>
  <c r="T78" i="1"/>
  <c r="T110" i="1"/>
  <c r="U110" i="1"/>
  <c r="T153" i="1"/>
  <c r="U153" i="1"/>
  <c r="T184" i="1"/>
  <c r="U184" i="1"/>
  <c r="T204" i="1"/>
  <c r="U204" i="1"/>
  <c r="T228" i="1"/>
  <c r="U228" i="1"/>
  <c r="O245" i="1"/>
  <c r="T245" i="1"/>
  <c r="U245" i="1"/>
  <c r="T20" i="1"/>
  <c r="U20" i="1"/>
  <c r="U36" i="1"/>
  <c r="T36" i="1"/>
  <c r="U72" i="1"/>
  <c r="T72" i="1"/>
  <c r="U100" i="1"/>
  <c r="T100" i="1"/>
  <c r="T118" i="1"/>
  <c r="U118" i="1"/>
  <c r="T142" i="1"/>
  <c r="U142" i="1"/>
  <c r="U159" i="1"/>
  <c r="T159" i="1"/>
  <c r="T196" i="1"/>
  <c r="U196" i="1"/>
  <c r="T239" i="1"/>
  <c r="U239" i="1"/>
  <c r="O145" i="1"/>
  <c r="O103" i="1"/>
  <c r="R145" i="1"/>
  <c r="R103" i="1"/>
  <c r="T169" i="1" l="1"/>
  <c r="U127" i="1"/>
  <c r="T45" i="1"/>
  <c r="N103" i="1"/>
  <c r="U169" i="1"/>
  <c r="T127" i="1"/>
  <c r="T87" i="1"/>
  <c r="U87" i="1"/>
  <c r="N145" i="1"/>
  <c r="AB218" i="1"/>
  <c r="U218" i="1" s="1"/>
  <c r="W218" i="1"/>
  <c r="T218" i="1" s="1"/>
  <c r="AC21" i="4"/>
  <c r="O21" i="4"/>
  <c r="AF21" i="4" s="1"/>
  <c r="AE20" i="4"/>
  <c r="AG20" i="4" s="1"/>
  <c r="AD20" i="4"/>
  <c r="AE19" i="4"/>
  <c r="AG19" i="4" s="1"/>
  <c r="AD19" i="4"/>
  <c r="AE18" i="4"/>
  <c r="AG18" i="4" s="1"/>
  <c r="Z18" i="4"/>
  <c r="AD18" i="4" s="1"/>
  <c r="AK18" i="4" s="1"/>
  <c r="AE17" i="4"/>
  <c r="AG17" i="4" s="1"/>
  <c r="AD17" i="4"/>
  <c r="AE16" i="4"/>
  <c r="AG16" i="4" s="1"/>
  <c r="AD16" i="4"/>
  <c r="AE15" i="4"/>
  <c r="AG15" i="4" s="1"/>
  <c r="AD15" i="4"/>
  <c r="AK15" i="4" s="1"/>
  <c r="AE14" i="4"/>
  <c r="AG14" i="4" s="1"/>
  <c r="AE13" i="4"/>
  <c r="AG13" i="4" s="1"/>
  <c r="AE12" i="4"/>
  <c r="AG12" i="4" s="1"/>
  <c r="AE11" i="4"/>
  <c r="AG11" i="4" s="1"/>
  <c r="V21" i="4"/>
  <c r="P19" i="4" l="1"/>
  <c r="I11" i="4"/>
  <c r="R11" i="4" s="1"/>
  <c r="P17" i="4"/>
  <c r="Z12" i="4"/>
  <c r="AD12" i="4" s="1"/>
  <c r="AK12" i="4" s="1"/>
  <c r="AD14" i="4"/>
  <c r="AK14" i="4" s="1"/>
  <c r="T21" i="4"/>
  <c r="AD13" i="4"/>
  <c r="AK13" i="4" s="1"/>
  <c r="R19" i="4"/>
  <c r="J11" i="4"/>
  <c r="R14" i="4"/>
  <c r="R16" i="4"/>
  <c r="R13" i="4"/>
  <c r="R15" i="4"/>
  <c r="R17" i="4"/>
  <c r="R20" i="4"/>
  <c r="L11" i="4" l="1"/>
  <c r="AM11" i="4" s="1"/>
  <c r="J21" i="4"/>
  <c r="L20" i="4"/>
  <c r="AM20" i="4" s="1"/>
  <c r="S18" i="4"/>
  <c r="X18" i="4" s="1"/>
  <c r="AA18" i="4" s="1"/>
  <c r="L15" i="4"/>
  <c r="AM15" i="4" s="1"/>
  <c r="P14" i="4"/>
  <c r="L13" i="4"/>
  <c r="AM13" i="4" s="1"/>
  <c r="L17" i="4"/>
  <c r="AM17" i="4" s="1"/>
  <c r="L19" i="4"/>
  <c r="N19" i="4" s="1"/>
  <c r="L14" i="4"/>
  <c r="P18" i="4"/>
  <c r="P15" i="4"/>
  <c r="Z21" i="4"/>
  <c r="AD11" i="4"/>
  <c r="AH21" i="4"/>
  <c r="AG21" i="4"/>
  <c r="AI21" i="4"/>
  <c r="N11" i="4" l="1"/>
  <c r="S14" i="4"/>
  <c r="X14" i="4" s="1"/>
  <c r="AA14" i="4" s="1"/>
  <c r="AM14" i="4"/>
  <c r="S20" i="4"/>
  <c r="Y20" i="4" s="1"/>
  <c r="AF20" i="4" s="1"/>
  <c r="N20" i="4"/>
  <c r="S19" i="4"/>
  <c r="X19" i="4" s="1"/>
  <c r="AA19" i="4" s="1"/>
  <c r="S17" i="4"/>
  <c r="X17" i="4" s="1"/>
  <c r="AA17" i="4" s="1"/>
  <c r="N17" i="4"/>
  <c r="S15" i="4"/>
  <c r="Y15" i="4" s="1"/>
  <c r="AF15" i="4" s="1"/>
  <c r="N15" i="4"/>
  <c r="AD21" i="4"/>
  <c r="Y18" i="4"/>
  <c r="AB18" i="4" s="1"/>
  <c r="F17" i="4"/>
  <c r="S13" i="4"/>
  <c r="P13" i="4"/>
  <c r="F14" i="4"/>
  <c r="N14" i="4"/>
  <c r="L12" i="4"/>
  <c r="AM12" i="4" s="1"/>
  <c r="P12" i="4"/>
  <c r="F19" i="4"/>
  <c r="B11" i="4"/>
  <c r="F20" i="4"/>
  <c r="F16" i="4"/>
  <c r="Y14" i="4" l="1"/>
  <c r="AF14" i="4" s="1"/>
  <c r="AH14" i="4" s="1"/>
  <c r="AM21" i="4"/>
  <c r="Y17" i="4"/>
  <c r="AB17" i="4" s="1"/>
  <c r="X20" i="4"/>
  <c r="AA20" i="4" s="1"/>
  <c r="Y19" i="4"/>
  <c r="AB19" i="4" s="1"/>
  <c r="X15" i="4"/>
  <c r="AA15" i="4" s="1"/>
  <c r="AF19" i="4"/>
  <c r="AH19" i="4" s="1"/>
  <c r="AB15" i="4"/>
  <c r="Y13" i="4"/>
  <c r="AF13" i="4" s="1"/>
  <c r="X13" i="4"/>
  <c r="AA13" i="4" s="1"/>
  <c r="AK21" i="4"/>
  <c r="AJ21" i="4"/>
  <c r="AF17" i="4"/>
  <c r="AH17" i="4" s="1"/>
  <c r="AB20" i="4"/>
  <c r="AF18" i="4"/>
  <c r="AH18" i="4" s="1"/>
  <c r="F12" i="4"/>
  <c r="F18" i="4"/>
  <c r="N12" i="4"/>
  <c r="S12" i="4"/>
  <c r="K21" i="4"/>
  <c r="L21" i="4" s="1"/>
  <c r="S11" i="4"/>
  <c r="R18" i="4"/>
  <c r="N18" i="4"/>
  <c r="I21" i="4"/>
  <c r="R21" i="4" s="1"/>
  <c r="E21" i="4"/>
  <c r="G21" i="4"/>
  <c r="AH20" i="4"/>
  <c r="F13" i="4"/>
  <c r="F11" i="4"/>
  <c r="P20" i="4"/>
  <c r="D21" i="4"/>
  <c r="L16" i="4"/>
  <c r="S16" i="4" s="1"/>
  <c r="X16" i="4" s="1"/>
  <c r="AA16" i="4" s="1"/>
  <c r="M21" i="4"/>
  <c r="N13" i="4"/>
  <c r="AB14" i="4"/>
  <c r="N27" i="4" l="1"/>
  <c r="N21" i="4"/>
  <c r="Z26" i="4" s="1"/>
  <c r="N25" i="4"/>
  <c r="Y11" i="4"/>
  <c r="X11" i="4"/>
  <c r="AA11" i="4" s="1"/>
  <c r="AB13" i="4"/>
  <c r="N16" i="4"/>
  <c r="Y16" i="4"/>
  <c r="AF16" i="4" s="1"/>
  <c r="AH16" i="4" s="1"/>
  <c r="AH13" i="4"/>
  <c r="P21" i="4"/>
  <c r="J33" i="4"/>
  <c r="S21" i="4"/>
  <c r="X12" i="4"/>
  <c r="Y12" i="4"/>
  <c r="AB16" i="4" l="1"/>
  <c r="X21" i="4"/>
  <c r="AA12" i="4"/>
  <c r="AA21" i="4" s="1"/>
  <c r="AE21" i="4"/>
  <c r="AB12" i="4"/>
  <c r="AF12" i="4"/>
  <c r="AH12" i="4" s="1"/>
  <c r="AF11" i="4"/>
  <c r="AH11" i="4" s="1"/>
  <c r="AB11" i="4"/>
  <c r="Y21" i="4"/>
  <c r="W33" i="4" s="1"/>
  <c r="AB21" i="4" l="1"/>
  <c r="I56" i="1"/>
  <c r="H56" i="1"/>
  <c r="F56" i="1"/>
  <c r="E56" i="1"/>
  <c r="AE9" i="1" l="1"/>
  <c r="Z9" i="1"/>
  <c r="AE22" i="1"/>
  <c r="Z22" i="1"/>
  <c r="AE31" i="1"/>
  <c r="Z31" i="1"/>
  <c r="AE35" i="1"/>
  <c r="Z35" i="1"/>
  <c r="Z112" i="1"/>
  <c r="Z141" i="1"/>
  <c r="Z155" i="1"/>
  <c r="W231" i="1" l="1"/>
  <c r="T231" i="1" s="1"/>
  <c r="AB231" i="1"/>
  <c r="U231" i="1" s="1"/>
  <c r="AB241" i="1"/>
  <c r="U241" i="1" s="1"/>
  <c r="W241" i="1"/>
  <c r="T241" i="1" s="1"/>
  <c r="F157" i="1" l="1"/>
  <c r="E157" i="1"/>
  <c r="I114" i="1" l="1"/>
  <c r="H114" i="1"/>
  <c r="F114" i="1"/>
  <c r="E114" i="1"/>
  <c r="O131" i="1" l="1"/>
  <c r="Z91" i="1"/>
  <c r="Z102" i="1"/>
  <c r="Z144" i="1"/>
  <c r="Z131" i="1"/>
  <c r="AE91" i="1"/>
  <c r="U210" i="1" l="1"/>
  <c r="T210" i="1"/>
  <c r="U211" i="1"/>
  <c r="T211" i="1"/>
  <c r="P155" i="1" l="1"/>
  <c r="P62" i="1"/>
  <c r="R62" i="1" l="1"/>
  <c r="G165" i="1"/>
  <c r="G166" i="1"/>
  <c r="G167" i="1"/>
  <c r="P77" i="1"/>
  <c r="G205" i="1" l="1"/>
  <c r="G185" i="1"/>
  <c r="G217" i="1" l="1"/>
  <c r="X155" i="1" l="1"/>
  <c r="X112" i="1"/>
  <c r="W112" i="1" s="1"/>
  <c r="T112" i="1" s="1"/>
  <c r="AC31" i="1" l="1"/>
  <c r="AB31" i="1" s="1"/>
  <c r="U31" i="1" s="1"/>
  <c r="X31" i="1"/>
  <c r="W31" i="1" s="1"/>
  <c r="T31" i="1" s="1"/>
  <c r="AC35" i="1"/>
  <c r="AB35" i="1" s="1"/>
  <c r="U35" i="1" s="1"/>
  <c r="X35" i="1"/>
  <c r="W35" i="1" s="1"/>
  <c r="T35" i="1" s="1"/>
  <c r="AA155" i="1"/>
  <c r="W155" i="1" s="1"/>
  <c r="T155" i="1" s="1"/>
  <c r="X144" i="1"/>
  <c r="W144" i="1" s="1"/>
  <c r="T144" i="1" s="1"/>
  <c r="X141" i="1"/>
  <c r="W141" i="1" s="1"/>
  <c r="T141" i="1" s="1"/>
  <c r="X131" i="1"/>
  <c r="W131" i="1" s="1"/>
  <c r="T131" i="1" s="1"/>
  <c r="P124" i="1"/>
  <c r="X102" i="1"/>
  <c r="W102" i="1" s="1"/>
  <c r="T102" i="1" s="1"/>
  <c r="AC9" i="1" l="1"/>
  <c r="AB9" i="1" s="1"/>
  <c r="U9" i="1" s="1"/>
  <c r="X9" i="1"/>
  <c r="W9" i="1" s="1"/>
  <c r="T9" i="1" s="1"/>
  <c r="AC22" i="1"/>
  <c r="AB22" i="1" s="1"/>
  <c r="U22" i="1" s="1"/>
  <c r="X22" i="1"/>
  <c r="W22" i="1" s="1"/>
  <c r="T22" i="1" s="1"/>
  <c r="X91" i="1"/>
  <c r="W91" i="1" s="1"/>
  <c r="T91" i="1" s="1"/>
  <c r="AC91" i="1"/>
  <c r="AB91" i="1" s="1"/>
  <c r="U91" i="1" s="1"/>
  <c r="J203" i="1" l="1"/>
  <c r="J221" i="1"/>
  <c r="O221" i="1"/>
  <c r="N221" i="1" s="1"/>
  <c r="N124" i="1"/>
  <c r="I234" i="1" l="1"/>
  <c r="H234" i="1"/>
  <c r="F234" i="1"/>
  <c r="E234" i="1"/>
  <c r="P209" i="1" l="1"/>
  <c r="C387" i="1" l="1"/>
  <c r="O383" i="1"/>
  <c r="N383" i="1"/>
  <c r="M383" i="1"/>
  <c r="O380" i="1"/>
  <c r="N380" i="1"/>
  <c r="M380" i="1"/>
  <c r="L379" i="1"/>
  <c r="C372" i="1"/>
  <c r="P368" i="1"/>
  <c r="O368" i="1"/>
  <c r="N368" i="1"/>
  <c r="P365" i="1"/>
  <c r="O365" i="1"/>
  <c r="N365" i="1"/>
  <c r="M364" i="1"/>
  <c r="C359" i="1"/>
  <c r="N355" i="1"/>
  <c r="M355" i="1"/>
  <c r="L355" i="1"/>
  <c r="N352" i="1"/>
  <c r="M352" i="1"/>
  <c r="L352" i="1"/>
  <c r="K351" i="1"/>
  <c r="C346" i="1"/>
  <c r="N342" i="1"/>
  <c r="M342" i="1"/>
  <c r="L342" i="1"/>
  <c r="N339" i="1"/>
  <c r="M339" i="1"/>
  <c r="L339" i="1"/>
  <c r="K338" i="1"/>
  <c r="C333" i="1"/>
  <c r="N329" i="1"/>
  <c r="M329" i="1"/>
  <c r="L329" i="1"/>
  <c r="N326" i="1"/>
  <c r="M326" i="1"/>
  <c r="L326" i="1"/>
  <c r="K325" i="1"/>
  <c r="C317" i="1"/>
  <c r="N313" i="1"/>
  <c r="M313" i="1"/>
  <c r="L313" i="1"/>
  <c r="N310" i="1"/>
  <c r="M310" i="1"/>
  <c r="L310" i="1"/>
  <c r="K309" i="1"/>
  <c r="S258" i="1"/>
  <c r="Q258" i="1"/>
  <c r="P257" i="1"/>
  <c r="T257" i="1" s="1"/>
  <c r="U257" i="1" s="1"/>
  <c r="P256" i="1"/>
  <c r="T255" i="1"/>
  <c r="U255" i="1" s="1"/>
  <c r="P255" i="1"/>
  <c r="N255" i="1"/>
  <c r="U254" i="1"/>
  <c r="N253" i="1"/>
  <c r="N252" i="1"/>
  <c r="T251" i="1"/>
  <c r="U251" i="1" s="1"/>
  <c r="N251" i="1"/>
  <c r="T250" i="1"/>
  <c r="U250" i="1" s="1"/>
  <c r="N250" i="1"/>
  <c r="R249" i="1"/>
  <c r="P249" i="1"/>
  <c r="M249" i="1"/>
  <c r="I249" i="1"/>
  <c r="H249" i="1"/>
  <c r="F249" i="1"/>
  <c r="E249" i="1"/>
  <c r="J247" i="1"/>
  <c r="O247" i="1"/>
  <c r="I246" i="1"/>
  <c r="H246" i="1"/>
  <c r="G246" i="1"/>
  <c r="F246" i="1"/>
  <c r="E246" i="1"/>
  <c r="J244" i="1"/>
  <c r="J243" i="1"/>
  <c r="R246" i="1"/>
  <c r="P246" i="1"/>
  <c r="J239" i="1"/>
  <c r="O239" i="1"/>
  <c r="U238" i="1"/>
  <c r="T238" i="1"/>
  <c r="J238" i="1"/>
  <c r="O238" i="1"/>
  <c r="N238" i="1" s="1"/>
  <c r="P237" i="1"/>
  <c r="U236" i="1"/>
  <c r="T236" i="1"/>
  <c r="J236" i="1"/>
  <c r="O236" i="1"/>
  <c r="N236" i="1" s="1"/>
  <c r="U235" i="1"/>
  <c r="T235" i="1"/>
  <c r="J235" i="1"/>
  <c r="O235" i="1"/>
  <c r="N235" i="1" s="1"/>
  <c r="U234" i="1"/>
  <c r="T234" i="1"/>
  <c r="J234" i="1"/>
  <c r="O234" i="1"/>
  <c r="N234" i="1" s="1"/>
  <c r="U233" i="1"/>
  <c r="T233" i="1"/>
  <c r="J233" i="1"/>
  <c r="O233" i="1"/>
  <c r="N233" i="1" s="1"/>
  <c r="N231" i="1"/>
  <c r="O228" i="1"/>
  <c r="J227" i="1"/>
  <c r="O227" i="1"/>
  <c r="N227" i="1" s="1"/>
  <c r="J226" i="1"/>
  <c r="R229" i="1"/>
  <c r="J225" i="1"/>
  <c r="O225" i="1"/>
  <c r="N225" i="1" s="1"/>
  <c r="J224" i="1"/>
  <c r="O224" i="1"/>
  <c r="N224" i="1" s="1"/>
  <c r="J223" i="1"/>
  <c r="O223" i="1"/>
  <c r="N223" i="1" s="1"/>
  <c r="T222" i="1"/>
  <c r="J222" i="1"/>
  <c r="O222" i="1"/>
  <c r="N222" i="1" s="1"/>
  <c r="N220" i="1"/>
  <c r="T220" i="1" s="1"/>
  <c r="U220" i="1" s="1"/>
  <c r="N219" i="1"/>
  <c r="U216" i="1"/>
  <c r="N216" i="1"/>
  <c r="T215" i="1"/>
  <c r="U215" i="1" s="1"/>
  <c r="N215" i="1"/>
  <c r="N213" i="1"/>
  <c r="N212" i="1"/>
  <c r="T212" i="1" s="1"/>
  <c r="U212" i="1" s="1"/>
  <c r="N211" i="1"/>
  <c r="P210" i="1"/>
  <c r="M209" i="1"/>
  <c r="I209" i="1"/>
  <c r="H209" i="1"/>
  <c r="F209" i="1"/>
  <c r="E209" i="1"/>
  <c r="R208" i="1"/>
  <c r="R209" i="1" s="1"/>
  <c r="J206" i="1"/>
  <c r="S205" i="1"/>
  <c r="Q205" i="1"/>
  <c r="I205" i="1"/>
  <c r="H205" i="1"/>
  <c r="E205" i="1"/>
  <c r="J204" i="1"/>
  <c r="O204" i="1"/>
  <c r="T203" i="1"/>
  <c r="R203" i="1"/>
  <c r="U202" i="1"/>
  <c r="T202" i="1"/>
  <c r="J202" i="1"/>
  <c r="O202" i="1"/>
  <c r="N202" i="1" s="1"/>
  <c r="J199" i="1"/>
  <c r="R199" i="1"/>
  <c r="J198" i="1"/>
  <c r="S197" i="1"/>
  <c r="Q197" i="1"/>
  <c r="E197" i="1"/>
  <c r="J196" i="1"/>
  <c r="O196" i="1"/>
  <c r="J195" i="1"/>
  <c r="U195" i="1" s="1"/>
  <c r="O195" i="1"/>
  <c r="N195" i="1" s="1"/>
  <c r="J194" i="1"/>
  <c r="U193" i="1"/>
  <c r="T193" i="1"/>
  <c r="J193" i="1"/>
  <c r="O193" i="1"/>
  <c r="N193" i="1" s="1"/>
  <c r="U192" i="1"/>
  <c r="T192" i="1"/>
  <c r="J192" i="1"/>
  <c r="O192" i="1"/>
  <c r="N192" i="1" s="1"/>
  <c r="U191" i="1"/>
  <c r="T191" i="1"/>
  <c r="J191" i="1"/>
  <c r="O191" i="1"/>
  <c r="N191" i="1" s="1"/>
  <c r="U190" i="1"/>
  <c r="T190" i="1"/>
  <c r="J190" i="1"/>
  <c r="O190" i="1"/>
  <c r="N190" i="1" s="1"/>
  <c r="J187" i="1"/>
  <c r="P197" i="1"/>
  <c r="J186" i="1"/>
  <c r="S185" i="1"/>
  <c r="Q185" i="1"/>
  <c r="J184" i="1"/>
  <c r="O184" i="1"/>
  <c r="J183" i="1"/>
  <c r="O183" i="1"/>
  <c r="N183" i="1" s="1"/>
  <c r="J182" i="1"/>
  <c r="I185" i="1"/>
  <c r="H185" i="1"/>
  <c r="F185" i="1"/>
  <c r="E185" i="1"/>
  <c r="U181" i="1"/>
  <c r="T181" i="1"/>
  <c r="J181" i="1"/>
  <c r="O181" i="1"/>
  <c r="N181" i="1" s="1"/>
  <c r="U180" i="1"/>
  <c r="T180" i="1"/>
  <c r="J180" i="1"/>
  <c r="O180" i="1"/>
  <c r="N180" i="1" s="1"/>
  <c r="U179" i="1"/>
  <c r="T179" i="1"/>
  <c r="J179" i="1"/>
  <c r="O179" i="1"/>
  <c r="N179" i="1" s="1"/>
  <c r="U178" i="1"/>
  <c r="T178" i="1"/>
  <c r="J178" i="1"/>
  <c r="O178" i="1"/>
  <c r="N178" i="1" s="1"/>
  <c r="U177" i="1"/>
  <c r="T177" i="1"/>
  <c r="J177" i="1"/>
  <c r="O177" i="1"/>
  <c r="N177" i="1" s="1"/>
  <c r="U176" i="1"/>
  <c r="T176" i="1"/>
  <c r="J176" i="1"/>
  <c r="O176" i="1"/>
  <c r="N176" i="1" s="1"/>
  <c r="U175" i="1"/>
  <c r="T175" i="1"/>
  <c r="J175" i="1"/>
  <c r="O175" i="1"/>
  <c r="N175" i="1" s="1"/>
  <c r="J173" i="1"/>
  <c r="U171" i="1"/>
  <c r="N171" i="1"/>
  <c r="T170" i="1"/>
  <c r="U170" i="1" s="1"/>
  <c r="N170" i="1"/>
  <c r="P168" i="1"/>
  <c r="N168" i="1" s="1"/>
  <c r="P167" i="1"/>
  <c r="N167" i="1" s="1"/>
  <c r="T166" i="1"/>
  <c r="U166" i="1" s="1"/>
  <c r="P166" i="1"/>
  <c r="N166" i="1" s="1"/>
  <c r="U165" i="1"/>
  <c r="P165" i="1"/>
  <c r="N165" i="1" s="1"/>
  <c r="P164" i="1"/>
  <c r="N164" i="1" s="1"/>
  <c r="R163" i="1"/>
  <c r="P163" i="1"/>
  <c r="M163" i="1"/>
  <c r="I163" i="1"/>
  <c r="H163" i="1"/>
  <c r="F163" i="1"/>
  <c r="E163" i="1"/>
  <c r="J161" i="1"/>
  <c r="S160" i="1"/>
  <c r="Q160" i="1"/>
  <c r="F160" i="1"/>
  <c r="E160" i="1"/>
  <c r="J159" i="1"/>
  <c r="O159" i="1"/>
  <c r="J158" i="1"/>
  <c r="U158" i="1" s="1"/>
  <c r="U157" i="1"/>
  <c r="T157" i="1"/>
  <c r="J157" i="1"/>
  <c r="O157" i="1"/>
  <c r="N157" i="1" s="1"/>
  <c r="J155" i="1"/>
  <c r="I160" i="1"/>
  <c r="H160" i="1"/>
  <c r="S154" i="1"/>
  <c r="Q154" i="1"/>
  <c r="J153" i="1"/>
  <c r="O153" i="1"/>
  <c r="J152" i="1"/>
  <c r="R152" i="1"/>
  <c r="U151" i="1"/>
  <c r="T151" i="1"/>
  <c r="J151" i="1"/>
  <c r="O151" i="1"/>
  <c r="N151" i="1" s="1"/>
  <c r="U150" i="1"/>
  <c r="T150" i="1"/>
  <c r="J150" i="1"/>
  <c r="O150" i="1"/>
  <c r="N150" i="1" s="1"/>
  <c r="U149" i="1"/>
  <c r="T149" i="1"/>
  <c r="J149" i="1"/>
  <c r="O149" i="1"/>
  <c r="N149" i="1" s="1"/>
  <c r="U148" i="1"/>
  <c r="T148" i="1"/>
  <c r="J148" i="1"/>
  <c r="O148" i="1"/>
  <c r="N148" i="1" s="1"/>
  <c r="U147" i="1"/>
  <c r="T147" i="1"/>
  <c r="J147" i="1"/>
  <c r="O147" i="1"/>
  <c r="N147" i="1" s="1"/>
  <c r="J144" i="1"/>
  <c r="S143" i="1"/>
  <c r="Q143" i="1"/>
  <c r="F143" i="1"/>
  <c r="E143" i="1"/>
  <c r="J142" i="1"/>
  <c r="J141" i="1"/>
  <c r="R141" i="1"/>
  <c r="U140" i="1"/>
  <c r="T140" i="1"/>
  <c r="J140" i="1"/>
  <c r="O140" i="1"/>
  <c r="N140" i="1" s="1"/>
  <c r="U139" i="1"/>
  <c r="T139" i="1"/>
  <c r="J139" i="1"/>
  <c r="O139" i="1"/>
  <c r="N139" i="1" s="1"/>
  <c r="U137" i="1"/>
  <c r="T137" i="1"/>
  <c r="J137" i="1"/>
  <c r="O137" i="1"/>
  <c r="N137" i="1" s="1"/>
  <c r="U136" i="1"/>
  <c r="T136" i="1"/>
  <c r="J136" i="1"/>
  <c r="O136" i="1"/>
  <c r="N136" i="1" s="1"/>
  <c r="U135" i="1"/>
  <c r="T135" i="1"/>
  <c r="J135" i="1"/>
  <c r="O135" i="1"/>
  <c r="N135" i="1" s="1"/>
  <c r="U134" i="1"/>
  <c r="T134" i="1"/>
  <c r="J134" i="1"/>
  <c r="O134" i="1"/>
  <c r="N134" i="1" s="1"/>
  <c r="U133" i="1"/>
  <c r="T133" i="1"/>
  <c r="O133" i="1"/>
  <c r="N133" i="1" s="1"/>
  <c r="J133" i="1"/>
  <c r="P143" i="1"/>
  <c r="J131" i="1"/>
  <c r="I143" i="1"/>
  <c r="H143" i="1"/>
  <c r="U129" i="1"/>
  <c r="N129" i="1"/>
  <c r="T128" i="1"/>
  <c r="U128" i="1" s="1"/>
  <c r="N128" i="1"/>
  <c r="N126" i="1"/>
  <c r="U125" i="1"/>
  <c r="N125" i="1"/>
  <c r="P123" i="1"/>
  <c r="N123" i="1" s="1"/>
  <c r="R122" i="1"/>
  <c r="P122" i="1"/>
  <c r="M122" i="1"/>
  <c r="I122" i="1"/>
  <c r="H122" i="1"/>
  <c r="F122" i="1"/>
  <c r="E122" i="1"/>
  <c r="J120" i="1"/>
  <c r="G122" i="1"/>
  <c r="S119" i="1"/>
  <c r="Q119" i="1"/>
  <c r="F119" i="1"/>
  <c r="E119" i="1"/>
  <c r="J118" i="1"/>
  <c r="O118" i="1"/>
  <c r="J117" i="1"/>
  <c r="U116" i="1"/>
  <c r="T116" i="1"/>
  <c r="J116" i="1"/>
  <c r="O116" i="1"/>
  <c r="N116" i="1" s="1"/>
  <c r="U115" i="1"/>
  <c r="T115" i="1"/>
  <c r="J115" i="1"/>
  <c r="O115" i="1"/>
  <c r="N115" i="1" s="1"/>
  <c r="U114" i="1"/>
  <c r="T114" i="1"/>
  <c r="J114" i="1"/>
  <c r="O114" i="1"/>
  <c r="N114" i="1" s="1"/>
  <c r="J112" i="1"/>
  <c r="I119" i="1"/>
  <c r="H119" i="1"/>
  <c r="R112" i="1"/>
  <c r="S111" i="1"/>
  <c r="Q111" i="1"/>
  <c r="J110" i="1"/>
  <c r="O110" i="1"/>
  <c r="J109" i="1"/>
  <c r="R109" i="1"/>
  <c r="U108" i="1"/>
  <c r="T108" i="1"/>
  <c r="J108" i="1"/>
  <c r="O108" i="1"/>
  <c r="N108" i="1" s="1"/>
  <c r="U107" i="1"/>
  <c r="T107" i="1"/>
  <c r="J107" i="1"/>
  <c r="O107" i="1"/>
  <c r="N107" i="1" s="1"/>
  <c r="U106" i="1"/>
  <c r="T106" i="1"/>
  <c r="J106" i="1"/>
  <c r="O106" i="1"/>
  <c r="N106" i="1" s="1"/>
  <c r="U105" i="1"/>
  <c r="T105" i="1"/>
  <c r="J105" i="1"/>
  <c r="O105" i="1"/>
  <c r="N105" i="1" s="1"/>
  <c r="J102" i="1"/>
  <c r="R102" i="1"/>
  <c r="R111" i="1" s="1"/>
  <c r="S101" i="1"/>
  <c r="Q101" i="1"/>
  <c r="F101" i="1"/>
  <c r="E101" i="1"/>
  <c r="J100" i="1"/>
  <c r="O100" i="1"/>
  <c r="J99" i="1"/>
  <c r="R99" i="1"/>
  <c r="U98" i="1"/>
  <c r="T98" i="1"/>
  <c r="J98" i="1"/>
  <c r="O98" i="1"/>
  <c r="N98" i="1" s="1"/>
  <c r="U97" i="1"/>
  <c r="T97" i="1"/>
  <c r="J97" i="1"/>
  <c r="O97" i="1"/>
  <c r="N97" i="1" s="1"/>
  <c r="U96" i="1"/>
  <c r="T96" i="1"/>
  <c r="J96" i="1"/>
  <c r="O96" i="1"/>
  <c r="N96" i="1" s="1"/>
  <c r="U95" i="1"/>
  <c r="T95" i="1"/>
  <c r="J95" i="1"/>
  <c r="O95" i="1"/>
  <c r="N95" i="1" s="1"/>
  <c r="U94" i="1"/>
  <c r="T94" i="1"/>
  <c r="J94" i="1"/>
  <c r="O94" i="1"/>
  <c r="N94" i="1" s="1"/>
  <c r="U93" i="1"/>
  <c r="T93" i="1"/>
  <c r="J93" i="1"/>
  <c r="O93" i="1"/>
  <c r="N93" i="1" s="1"/>
  <c r="J91" i="1"/>
  <c r="I101" i="1"/>
  <c r="H101" i="1"/>
  <c r="R91" i="1"/>
  <c r="R101" i="1" s="1"/>
  <c r="U89" i="1"/>
  <c r="N89" i="1"/>
  <c r="T88" i="1"/>
  <c r="U88" i="1" s="1"/>
  <c r="N88" i="1"/>
  <c r="N86" i="1"/>
  <c r="U85" i="1"/>
  <c r="N85" i="1"/>
  <c r="T84" i="1"/>
  <c r="U84" i="1" s="1"/>
  <c r="N84" i="1"/>
  <c r="T83" i="1"/>
  <c r="U83" i="1" s="1"/>
  <c r="M82" i="1"/>
  <c r="I82" i="1"/>
  <c r="H82" i="1"/>
  <c r="F82" i="1"/>
  <c r="E82" i="1"/>
  <c r="J80" i="1"/>
  <c r="O80" i="1"/>
  <c r="S79" i="1"/>
  <c r="Q79" i="1"/>
  <c r="J78" i="1"/>
  <c r="O78" i="1"/>
  <c r="R77" i="1"/>
  <c r="U76" i="1"/>
  <c r="T76" i="1"/>
  <c r="J76" i="1"/>
  <c r="O76" i="1"/>
  <c r="N76" i="1" s="1"/>
  <c r="J74" i="1"/>
  <c r="I79" i="1"/>
  <c r="H79" i="1"/>
  <c r="R74" i="1"/>
  <c r="S73" i="1"/>
  <c r="Q73" i="1"/>
  <c r="J72" i="1"/>
  <c r="O72" i="1"/>
  <c r="J71" i="1"/>
  <c r="U70" i="1"/>
  <c r="T70" i="1"/>
  <c r="J70" i="1"/>
  <c r="O70" i="1"/>
  <c r="N70" i="1" s="1"/>
  <c r="U68" i="1"/>
  <c r="T68" i="1"/>
  <c r="J68" i="1"/>
  <c r="O68" i="1"/>
  <c r="N68" i="1" s="1"/>
  <c r="U67" i="1"/>
  <c r="T67" i="1"/>
  <c r="J67" i="1"/>
  <c r="O67" i="1"/>
  <c r="N67" i="1" s="1"/>
  <c r="U66" i="1"/>
  <c r="T66" i="1"/>
  <c r="J66" i="1"/>
  <c r="O66" i="1"/>
  <c r="N66" i="1" s="1"/>
  <c r="U65" i="1"/>
  <c r="T65" i="1"/>
  <c r="J65" i="1"/>
  <c r="O65" i="1"/>
  <c r="N65" i="1" s="1"/>
  <c r="J62" i="1"/>
  <c r="S61" i="1"/>
  <c r="Q61" i="1"/>
  <c r="H61" i="1"/>
  <c r="F61" i="1"/>
  <c r="F90" i="1" s="1"/>
  <c r="E61" i="1"/>
  <c r="E90" i="1" s="1"/>
  <c r="J60" i="1"/>
  <c r="P61" i="1"/>
  <c r="J59" i="1"/>
  <c r="G61" i="1"/>
  <c r="U58" i="1"/>
  <c r="T58" i="1"/>
  <c r="O58" i="1"/>
  <c r="N58" i="1" s="1"/>
  <c r="J58" i="1"/>
  <c r="U57" i="1"/>
  <c r="T57" i="1"/>
  <c r="J57" i="1"/>
  <c r="O57" i="1"/>
  <c r="N57" i="1" s="1"/>
  <c r="U56" i="1"/>
  <c r="T56" i="1"/>
  <c r="J56" i="1"/>
  <c r="O56" i="1"/>
  <c r="N56" i="1" s="1"/>
  <c r="U55" i="1"/>
  <c r="T55" i="1"/>
  <c r="J55" i="1"/>
  <c r="O55" i="1"/>
  <c r="N55" i="1" s="1"/>
  <c r="U54" i="1"/>
  <c r="T54" i="1"/>
  <c r="J54" i="1"/>
  <c r="O54" i="1"/>
  <c r="N54" i="1" s="1"/>
  <c r="U53" i="1"/>
  <c r="T53" i="1"/>
  <c r="J53" i="1"/>
  <c r="O53" i="1"/>
  <c r="N53" i="1" s="1"/>
  <c r="U52" i="1"/>
  <c r="T52" i="1"/>
  <c r="J52" i="1"/>
  <c r="O52" i="1"/>
  <c r="N52" i="1" s="1"/>
  <c r="U51" i="1"/>
  <c r="T51" i="1"/>
  <c r="J51" i="1"/>
  <c r="O51" i="1"/>
  <c r="N51" i="1" s="1"/>
  <c r="I61" i="1"/>
  <c r="U47" i="1"/>
  <c r="N47" i="1"/>
  <c r="T46" i="1"/>
  <c r="U46" i="1" s="1"/>
  <c r="N46" i="1"/>
  <c r="N44" i="1"/>
  <c r="T43" i="1"/>
  <c r="U43" i="1" s="1"/>
  <c r="P42" i="1"/>
  <c r="N42" i="1" s="1"/>
  <c r="N41" i="1"/>
  <c r="R40" i="1"/>
  <c r="P40" i="1"/>
  <c r="M40" i="1"/>
  <c r="I40" i="1"/>
  <c r="H40" i="1"/>
  <c r="F40" i="1"/>
  <c r="E40" i="1"/>
  <c r="J38" i="1"/>
  <c r="S37" i="1"/>
  <c r="Q37" i="1"/>
  <c r="O36" i="1"/>
  <c r="R35" i="1"/>
  <c r="U33" i="1"/>
  <c r="T33" i="1"/>
  <c r="J33" i="1"/>
  <c r="O33" i="1"/>
  <c r="N33" i="1" s="1"/>
  <c r="J31" i="1"/>
  <c r="S30" i="1"/>
  <c r="Q30" i="1"/>
  <c r="E30" i="1"/>
  <c r="J29" i="1"/>
  <c r="O29" i="1"/>
  <c r="J28" i="1"/>
  <c r="R28" i="1"/>
  <c r="U27" i="1"/>
  <c r="T27" i="1"/>
  <c r="J27" i="1"/>
  <c r="O27" i="1"/>
  <c r="N27" i="1" s="1"/>
  <c r="U26" i="1"/>
  <c r="T26" i="1"/>
  <c r="J26" i="1"/>
  <c r="O26" i="1"/>
  <c r="N26" i="1" s="1"/>
  <c r="U25" i="1"/>
  <c r="T25" i="1"/>
  <c r="J25" i="1"/>
  <c r="O25" i="1"/>
  <c r="N25" i="1" s="1"/>
  <c r="U24" i="1"/>
  <c r="T24" i="1"/>
  <c r="J24" i="1"/>
  <c r="O24" i="1"/>
  <c r="N24" i="1" s="1"/>
  <c r="J22" i="1"/>
  <c r="I30" i="1"/>
  <c r="S21" i="1"/>
  <c r="Q21" i="1"/>
  <c r="F21" i="1"/>
  <c r="F48" i="1" s="1"/>
  <c r="E21" i="1"/>
  <c r="O20" i="1"/>
  <c r="J19" i="1"/>
  <c r="O19" i="1"/>
  <c r="U18" i="1"/>
  <c r="T18" i="1"/>
  <c r="J18" i="1"/>
  <c r="O18" i="1"/>
  <c r="N18" i="1" s="1"/>
  <c r="U17" i="1"/>
  <c r="T17" i="1"/>
  <c r="J17" i="1"/>
  <c r="O17" i="1"/>
  <c r="N17" i="1" s="1"/>
  <c r="U16" i="1"/>
  <c r="T16" i="1"/>
  <c r="J16" i="1"/>
  <c r="O16" i="1"/>
  <c r="N16" i="1" s="1"/>
  <c r="U15" i="1"/>
  <c r="T15" i="1"/>
  <c r="J15" i="1"/>
  <c r="O15" i="1"/>
  <c r="N15" i="1" s="1"/>
  <c r="U14" i="1"/>
  <c r="T14" i="1"/>
  <c r="J14" i="1"/>
  <c r="O14" i="1"/>
  <c r="N14" i="1" s="1"/>
  <c r="U13" i="1"/>
  <c r="T13" i="1"/>
  <c r="J13" i="1"/>
  <c r="O13" i="1"/>
  <c r="N13" i="1" s="1"/>
  <c r="U12" i="1"/>
  <c r="T12" i="1"/>
  <c r="J12" i="1"/>
  <c r="O12" i="1"/>
  <c r="N12" i="1" s="1"/>
  <c r="U11" i="1"/>
  <c r="T11" i="1"/>
  <c r="J11" i="1"/>
  <c r="O11" i="1"/>
  <c r="N11" i="1" s="1"/>
  <c r="P21" i="1"/>
  <c r="J9" i="1"/>
  <c r="I21" i="1"/>
  <c r="H21" i="1"/>
  <c r="G21" i="1"/>
  <c r="AH16" i="2"/>
  <c r="AC15" i="2"/>
  <c r="AC14" i="2"/>
  <c r="AC12" i="2"/>
  <c r="AC11" i="2"/>
  <c r="AC10" i="2"/>
  <c r="T16" i="2"/>
  <c r="AC13" i="2"/>
  <c r="F16" i="2"/>
  <c r="AG11" i="2"/>
  <c r="AF11" i="2"/>
  <c r="N16" i="2"/>
  <c r="P71" i="1" l="1"/>
  <c r="P73" i="1" s="1"/>
  <c r="P158" i="1"/>
  <c r="R158" i="1"/>
  <c r="O158" i="1"/>
  <c r="R117" i="1"/>
  <c r="R119" i="1" s="1"/>
  <c r="P117" i="1"/>
  <c r="N256" i="1"/>
  <c r="T256" i="1"/>
  <c r="U256" i="1" s="1"/>
  <c r="T161" i="1"/>
  <c r="T163" i="1" s="1"/>
  <c r="U161" i="1"/>
  <c r="U163" i="1" s="1"/>
  <c r="R22" i="1"/>
  <c r="R30" i="1" s="1"/>
  <c r="G30" i="1"/>
  <c r="G48" i="1" s="1"/>
  <c r="O22" i="1"/>
  <c r="R9" i="1"/>
  <c r="O127" i="1"/>
  <c r="L12" i="2" s="1"/>
  <c r="W12" i="2" s="1"/>
  <c r="R79" i="1"/>
  <c r="R144" i="1"/>
  <c r="R154" i="1" s="1"/>
  <c r="O144" i="1"/>
  <c r="H90" i="1"/>
  <c r="F172" i="1"/>
  <c r="J228" i="1"/>
  <c r="N100" i="1"/>
  <c r="I130" i="1"/>
  <c r="Q217" i="1"/>
  <c r="N311" i="1"/>
  <c r="N327" i="1"/>
  <c r="M381" i="1"/>
  <c r="O381" i="1"/>
  <c r="L311" i="1"/>
  <c r="L327" i="1"/>
  <c r="L340" i="1"/>
  <c r="L353" i="1"/>
  <c r="N366" i="1"/>
  <c r="G40" i="1"/>
  <c r="O38" i="1"/>
  <c r="O39" i="1" s="1"/>
  <c r="N83" i="1"/>
  <c r="N204" i="1"/>
  <c r="U248" i="1"/>
  <c r="T248" i="1"/>
  <c r="U249" i="1"/>
  <c r="J36" i="1"/>
  <c r="O249" i="1"/>
  <c r="O248" i="1"/>
  <c r="T39" i="1"/>
  <c r="U39" i="1"/>
  <c r="N60" i="1"/>
  <c r="N110" i="1"/>
  <c r="U162" i="1"/>
  <c r="T162" i="1"/>
  <c r="T206" i="1"/>
  <c r="U206" i="1"/>
  <c r="N340" i="1"/>
  <c r="N353" i="1"/>
  <c r="P366" i="1"/>
  <c r="J20" i="1"/>
  <c r="U45" i="1"/>
  <c r="G249" i="1"/>
  <c r="N20" i="1"/>
  <c r="E130" i="1"/>
  <c r="S130" i="1"/>
  <c r="G143" i="1"/>
  <c r="S172" i="1"/>
  <c r="U19" i="1"/>
  <c r="T19" i="1"/>
  <c r="N257" i="1"/>
  <c r="Q48" i="1"/>
  <c r="P30" i="1"/>
  <c r="N120" i="1"/>
  <c r="S48" i="1"/>
  <c r="N29" i="1"/>
  <c r="I48" i="1"/>
  <c r="N36" i="1"/>
  <c r="Q90" i="1"/>
  <c r="G79" i="1"/>
  <c r="P101" i="1"/>
  <c r="F130" i="1"/>
  <c r="Q130" i="1"/>
  <c r="N118" i="1"/>
  <c r="N153" i="1"/>
  <c r="T164" i="1"/>
  <c r="U164" i="1" s="1"/>
  <c r="I217" i="1"/>
  <c r="N314" i="1"/>
  <c r="N315" i="1" s="1"/>
  <c r="N319" i="1" s="1"/>
  <c r="N330" i="1"/>
  <c r="N331" i="1" s="1"/>
  <c r="N335" i="1" s="1"/>
  <c r="N343" i="1"/>
  <c r="N344" i="1" s="1"/>
  <c r="N347" i="1" s="1"/>
  <c r="N356" i="1"/>
  <c r="N357" i="1" s="1"/>
  <c r="N362" i="1" s="1"/>
  <c r="P369" i="1"/>
  <c r="P370" i="1" s="1"/>
  <c r="P377" i="1" s="1"/>
  <c r="O384" i="1"/>
  <c r="O385" i="1" s="1"/>
  <c r="O389" i="1" s="1"/>
  <c r="U183" i="1"/>
  <c r="T183" i="1"/>
  <c r="U16" i="2"/>
  <c r="P37" i="1"/>
  <c r="H130" i="1"/>
  <c r="P205" i="1"/>
  <c r="G209" i="1"/>
  <c r="O206" i="1"/>
  <c r="N206" i="1" s="1"/>
  <c r="AE16" i="2"/>
  <c r="H30" i="1"/>
  <c r="P111" i="1"/>
  <c r="N142" i="1"/>
  <c r="Q172" i="1"/>
  <c r="P229" i="1"/>
  <c r="N218" i="1"/>
  <c r="N245" i="1"/>
  <c r="J245" i="1"/>
  <c r="O237" i="1"/>
  <c r="N237" i="1" s="1"/>
  <c r="J237" i="1"/>
  <c r="I90" i="1"/>
  <c r="P79" i="1"/>
  <c r="G82" i="1"/>
  <c r="G163" i="1"/>
  <c r="O161" i="1"/>
  <c r="N161" i="1" s="1"/>
  <c r="N241" i="1"/>
  <c r="M314" i="1"/>
  <c r="M315" i="1" s="1"/>
  <c r="M320" i="1" s="1"/>
  <c r="M330" i="1"/>
  <c r="M331" i="1" s="1"/>
  <c r="M332" i="1" s="1"/>
  <c r="M343" i="1"/>
  <c r="M344" i="1" s="1"/>
  <c r="M347" i="1" s="1"/>
  <c r="M356" i="1"/>
  <c r="M357" i="1" s="1"/>
  <c r="M362" i="1" s="1"/>
  <c r="O369" i="1"/>
  <c r="O370" i="1" s="1"/>
  <c r="O377" i="1" s="1"/>
  <c r="N384" i="1"/>
  <c r="N385" i="1" s="1"/>
  <c r="N391" i="1" s="1"/>
  <c r="V16" i="2"/>
  <c r="O49" i="1"/>
  <c r="N49" i="1" s="1"/>
  <c r="J77" i="1"/>
  <c r="E172" i="1"/>
  <c r="S217" i="1"/>
  <c r="N196" i="1"/>
  <c r="P240" i="1"/>
  <c r="E48" i="1"/>
  <c r="S90" i="1"/>
  <c r="N72" i="1"/>
  <c r="N78" i="1"/>
  <c r="P119" i="1"/>
  <c r="G160" i="1"/>
  <c r="G172" i="1" s="1"/>
  <c r="P160" i="1"/>
  <c r="N158" i="1"/>
  <c r="N159" i="1"/>
  <c r="N184" i="1"/>
  <c r="O194" i="1"/>
  <c r="N194" i="1" s="1"/>
  <c r="T194" i="1" s="1"/>
  <c r="U194" i="1" s="1"/>
  <c r="O226" i="1"/>
  <c r="N228" i="1"/>
  <c r="R240" i="1"/>
  <c r="R258" i="1" s="1"/>
  <c r="R267" i="1" s="1"/>
  <c r="N239" i="1"/>
  <c r="L314" i="1"/>
  <c r="L315" i="1" s="1"/>
  <c r="L319" i="1" s="1"/>
  <c r="L330" i="1"/>
  <c r="L331" i="1" s="1"/>
  <c r="L335" i="1" s="1"/>
  <c r="L343" i="1"/>
  <c r="L344" i="1" s="1"/>
  <c r="L346" i="1" s="1"/>
  <c r="L356" i="1"/>
  <c r="L357" i="1" s="1"/>
  <c r="L362" i="1" s="1"/>
  <c r="N369" i="1"/>
  <c r="N370" i="1" s="1"/>
  <c r="N375" i="1" s="1"/>
  <c r="M384" i="1"/>
  <c r="M385" i="1" s="1"/>
  <c r="M390" i="1" s="1"/>
  <c r="I172" i="1"/>
  <c r="H217" i="1"/>
  <c r="E217" i="1"/>
  <c r="P154" i="1"/>
  <c r="AC16" i="2"/>
  <c r="T73" i="1"/>
  <c r="U62" i="1"/>
  <c r="U73" i="1" s="1"/>
  <c r="H172" i="1"/>
  <c r="O9" i="1"/>
  <c r="O28" i="1"/>
  <c r="N28" i="1" s="1"/>
  <c r="J49" i="1"/>
  <c r="O62" i="1"/>
  <c r="O74" i="1"/>
  <c r="O77" i="1"/>
  <c r="N77" i="1" s="1"/>
  <c r="O99" i="1"/>
  <c r="N99" i="1" s="1"/>
  <c r="G101" i="1"/>
  <c r="O109" i="1"/>
  <c r="N109" i="1" s="1"/>
  <c r="O117" i="1"/>
  <c r="N117" i="1" s="1"/>
  <c r="G119" i="1"/>
  <c r="R131" i="1"/>
  <c r="R143" i="1" s="1"/>
  <c r="O141" i="1"/>
  <c r="N141" i="1" s="1"/>
  <c r="O152" i="1"/>
  <c r="N152" i="1" s="1"/>
  <c r="T158" i="1"/>
  <c r="R187" i="1"/>
  <c r="O187" i="1"/>
  <c r="L334" i="1"/>
  <c r="M358" i="1"/>
  <c r="N390" i="1"/>
  <c r="M389" i="1"/>
  <c r="R19" i="1"/>
  <c r="O31" i="1"/>
  <c r="R31" i="1"/>
  <c r="R37" i="1" s="1"/>
  <c r="O35" i="1"/>
  <c r="N35" i="1" s="1"/>
  <c r="O59" i="1"/>
  <c r="R59" i="1"/>
  <c r="R61" i="1" s="1"/>
  <c r="O71" i="1"/>
  <c r="R71" i="1"/>
  <c r="R73" i="1" s="1"/>
  <c r="O91" i="1"/>
  <c r="O102" i="1"/>
  <c r="O112" i="1"/>
  <c r="O155" i="1"/>
  <c r="R155" i="1"/>
  <c r="O173" i="1"/>
  <c r="R173" i="1"/>
  <c r="P185" i="1"/>
  <c r="O186" i="1"/>
  <c r="R186" i="1"/>
  <c r="T195" i="1"/>
  <c r="F217" i="1"/>
  <c r="O198" i="1"/>
  <c r="R198" i="1"/>
  <c r="R205" i="1" s="1"/>
  <c r="O203" i="1"/>
  <c r="N203" i="1" s="1"/>
  <c r="U203" i="1"/>
  <c r="N208" i="1"/>
  <c r="T208" i="1" s="1"/>
  <c r="U208" i="1" s="1"/>
  <c r="N210" i="1"/>
  <c r="N230" i="1"/>
  <c r="O243" i="1"/>
  <c r="N243" i="1" s="1"/>
  <c r="O244" i="1"/>
  <c r="N244" i="1" s="1"/>
  <c r="N247" i="1"/>
  <c r="O199" i="1"/>
  <c r="N199" i="1" s="1"/>
  <c r="O310" i="1"/>
  <c r="M311" i="1"/>
  <c r="O326" i="1"/>
  <c r="M327" i="1"/>
  <c r="O339" i="1"/>
  <c r="M340" i="1"/>
  <c r="O352" i="1"/>
  <c r="M353" i="1"/>
  <c r="Q365" i="1"/>
  <c r="O366" i="1"/>
  <c r="P380" i="1"/>
  <c r="N381" i="1"/>
  <c r="R160" i="1" l="1"/>
  <c r="P82" i="1"/>
  <c r="P90" i="1" s="1"/>
  <c r="J11" i="2" s="1"/>
  <c r="Q11" i="2" s="1"/>
  <c r="R82" i="1"/>
  <c r="R90" i="1" s="1"/>
  <c r="R21" i="1"/>
  <c r="N359" i="1"/>
  <c r="G130" i="1"/>
  <c r="N361" i="1"/>
  <c r="N336" i="1"/>
  <c r="P375" i="1"/>
  <c r="M334" i="1"/>
  <c r="O374" i="1"/>
  <c r="L349" i="1"/>
  <c r="N318" i="1"/>
  <c r="N372" i="1"/>
  <c r="M317" i="1"/>
  <c r="R130" i="1"/>
  <c r="K12" i="2" s="1"/>
  <c r="M387" i="1"/>
  <c r="M391" i="1"/>
  <c r="P372" i="1"/>
  <c r="O371" i="1"/>
  <c r="L332" i="1"/>
  <c r="L336" i="1"/>
  <c r="N316" i="1"/>
  <c r="N321" i="1"/>
  <c r="M321" i="1"/>
  <c r="P130" i="1"/>
  <c r="J12" i="2" s="1"/>
  <c r="AF12" i="2" s="1"/>
  <c r="O390" i="1"/>
  <c r="P390" i="1" s="1"/>
  <c r="N388" i="1"/>
  <c r="N386" i="1"/>
  <c r="N358" i="1"/>
  <c r="N360" i="1"/>
  <c r="L347" i="1"/>
  <c r="N332" i="1"/>
  <c r="M336" i="1"/>
  <c r="L345" i="1"/>
  <c r="L348" i="1"/>
  <c r="M386" i="1"/>
  <c r="M388" i="1"/>
  <c r="N387" i="1"/>
  <c r="N389" i="1"/>
  <c r="P389" i="1" s="1"/>
  <c r="P371" i="1"/>
  <c r="P374" i="1"/>
  <c r="P376" i="1"/>
  <c r="N348" i="1"/>
  <c r="L333" i="1"/>
  <c r="M333" i="1"/>
  <c r="M335" i="1"/>
  <c r="N317" i="1"/>
  <c r="N320" i="1"/>
  <c r="K13" i="2"/>
  <c r="AJ13" i="2" s="1"/>
  <c r="G90" i="1"/>
  <c r="P217" i="1"/>
  <c r="J15" i="2" s="1"/>
  <c r="Q15" i="2" s="1"/>
  <c r="P172" i="1"/>
  <c r="J14" i="2" s="1"/>
  <c r="AF14" i="2" s="1"/>
  <c r="O375" i="1"/>
  <c r="M316" i="1"/>
  <c r="N376" i="1"/>
  <c r="N345" i="1"/>
  <c r="N349" i="1"/>
  <c r="M318" i="1"/>
  <c r="N226" i="1"/>
  <c r="O372" i="1"/>
  <c r="O376" i="1"/>
  <c r="L359" i="1"/>
  <c r="N346" i="1"/>
  <c r="L316" i="1"/>
  <c r="M319" i="1"/>
  <c r="O319" i="1" s="1"/>
  <c r="Q259" i="1"/>
  <c r="O386" i="1"/>
  <c r="P373" i="1"/>
  <c r="O373" i="1"/>
  <c r="M359" i="1"/>
  <c r="M348" i="1"/>
  <c r="L320" i="1"/>
  <c r="O320" i="1" s="1"/>
  <c r="O82" i="1"/>
  <c r="O81" i="1"/>
  <c r="O45" i="1"/>
  <c r="O387" i="1"/>
  <c r="O391" i="1"/>
  <c r="L360" i="1"/>
  <c r="M360" i="1"/>
  <c r="N333" i="1"/>
  <c r="U246" i="1"/>
  <c r="O87" i="1"/>
  <c r="L11" i="2" s="1"/>
  <c r="W11" i="2" s="1"/>
  <c r="T246" i="1"/>
  <c r="O209" i="1"/>
  <c r="O207" i="1"/>
  <c r="O122" i="1"/>
  <c r="O121" i="1"/>
  <c r="U209" i="1"/>
  <c r="U207" i="1"/>
  <c r="N249" i="1"/>
  <c r="E13" i="2" s="1"/>
  <c r="I13" i="2" s="1"/>
  <c r="P13" i="2" s="1"/>
  <c r="N248" i="1"/>
  <c r="K248" i="1" s="1"/>
  <c r="J248" i="1" s="1"/>
  <c r="T249" i="1"/>
  <c r="O388" i="1"/>
  <c r="L361" i="1"/>
  <c r="M361" i="1"/>
  <c r="N334" i="1"/>
  <c r="O334" i="1" s="1"/>
  <c r="N163" i="1"/>
  <c r="E14" i="2" s="1"/>
  <c r="I14" i="2" s="1"/>
  <c r="P14" i="2" s="1"/>
  <c r="N162" i="1"/>
  <c r="K162" i="1" s="1"/>
  <c r="J162" i="1" s="1"/>
  <c r="N122" i="1"/>
  <c r="E12" i="2" s="1"/>
  <c r="I12" i="2" s="1"/>
  <c r="P12" i="2" s="1"/>
  <c r="N121" i="1"/>
  <c r="K121" i="1" s="1"/>
  <c r="J121" i="1" s="1"/>
  <c r="N38" i="1"/>
  <c r="N40" i="1" s="1"/>
  <c r="E10" i="2" s="1"/>
  <c r="O163" i="1"/>
  <c r="O162" i="1"/>
  <c r="O254" i="1"/>
  <c r="L13" i="2" s="1"/>
  <c r="W13" i="2" s="1"/>
  <c r="T209" i="1"/>
  <c r="T207" i="1"/>
  <c r="U121" i="1"/>
  <c r="U122" i="1"/>
  <c r="U82" i="1"/>
  <c r="U81" i="1"/>
  <c r="O335" i="1"/>
  <c r="N246" i="1"/>
  <c r="D13" i="2" s="1"/>
  <c r="L358" i="1"/>
  <c r="O358" i="1" s="1"/>
  <c r="O40" i="1"/>
  <c r="T122" i="1"/>
  <c r="T121" i="1"/>
  <c r="T81" i="1"/>
  <c r="T82" i="1"/>
  <c r="P258" i="1"/>
  <c r="J13" i="2" s="1"/>
  <c r="P48" i="1"/>
  <c r="J10" i="2" s="1"/>
  <c r="N209" i="1"/>
  <c r="E15" i="2" s="1"/>
  <c r="N207" i="1"/>
  <c r="K207" i="1" s="1"/>
  <c r="J207" i="1" s="1"/>
  <c r="N59" i="1"/>
  <c r="N61" i="1" s="1"/>
  <c r="B11" i="2" s="1"/>
  <c r="H48" i="1"/>
  <c r="S259" i="1"/>
  <c r="N71" i="1"/>
  <c r="N19" i="1"/>
  <c r="N373" i="1"/>
  <c r="N377" i="1"/>
  <c r="Q377" i="1" s="1"/>
  <c r="M349" i="1"/>
  <c r="L317" i="1"/>
  <c r="L321" i="1"/>
  <c r="N80" i="1"/>
  <c r="O240" i="1"/>
  <c r="N240" i="1" s="1"/>
  <c r="C13" i="2" s="1"/>
  <c r="N374" i="1"/>
  <c r="Q374" i="1" s="1"/>
  <c r="M346" i="1"/>
  <c r="M345" i="1"/>
  <c r="L318" i="1"/>
  <c r="O229" i="1"/>
  <c r="N371" i="1"/>
  <c r="O347" i="1"/>
  <c r="O214" i="1"/>
  <c r="L15" i="2" s="1"/>
  <c r="W15" i="2" s="1"/>
  <c r="O169" i="1"/>
  <c r="L14" i="2" s="1"/>
  <c r="W14" i="2" s="1"/>
  <c r="R197" i="1"/>
  <c r="R48" i="1"/>
  <c r="T240" i="1"/>
  <c r="U240" i="1" s="1"/>
  <c r="N198" i="1"/>
  <c r="O205" i="1"/>
  <c r="O160" i="1"/>
  <c r="N155" i="1"/>
  <c r="O119" i="1"/>
  <c r="N112" i="1"/>
  <c r="O101" i="1"/>
  <c r="N91" i="1"/>
  <c r="N173" i="1"/>
  <c r="O154" i="1"/>
  <c r="N144" i="1"/>
  <c r="O111" i="1"/>
  <c r="N102" i="1"/>
  <c r="O37" i="1"/>
  <c r="N31" i="1"/>
  <c r="O79" i="1"/>
  <c r="N74" i="1"/>
  <c r="O21" i="1"/>
  <c r="N9" i="1"/>
  <c r="O362" i="1"/>
  <c r="O332" i="1"/>
  <c r="N187" i="1"/>
  <c r="R172" i="1"/>
  <c r="T30" i="1"/>
  <c r="R182" i="1"/>
  <c r="R185" i="1" s="1"/>
  <c r="O182" i="1"/>
  <c r="O185" i="1" s="1"/>
  <c r="O197" i="1"/>
  <c r="N186" i="1"/>
  <c r="O30" i="1"/>
  <c r="N22" i="1"/>
  <c r="N30" i="1" s="1"/>
  <c r="C10" i="2" s="1"/>
  <c r="N131" i="1"/>
  <c r="O143" i="1"/>
  <c r="O73" i="1"/>
  <c r="N62" i="1"/>
  <c r="U40" i="1"/>
  <c r="T40" i="1"/>
  <c r="O246" i="1"/>
  <c r="O61" i="1"/>
  <c r="U30" i="1"/>
  <c r="R12" i="2" l="1"/>
  <c r="AJ12" i="2"/>
  <c r="O316" i="1"/>
  <c r="P388" i="1"/>
  <c r="O90" i="1"/>
  <c r="N90" i="1" s="1"/>
  <c r="L10" i="2"/>
  <c r="W10" i="2" s="1"/>
  <c r="O48" i="1"/>
  <c r="N48" i="1" s="1"/>
  <c r="Y13" i="2"/>
  <c r="AO13" i="2" s="1"/>
  <c r="N87" i="1"/>
  <c r="Y11" i="2"/>
  <c r="AO11" i="2" s="1"/>
  <c r="Q375" i="1"/>
  <c r="O318" i="1"/>
  <c r="O336" i="1"/>
  <c r="Q372" i="1"/>
  <c r="Q371" i="1"/>
  <c r="O321" i="1"/>
  <c r="O349" i="1"/>
  <c r="Q373" i="1"/>
  <c r="P391" i="1"/>
  <c r="O360" i="1"/>
  <c r="Q376" i="1"/>
  <c r="O317" i="1"/>
  <c r="O348" i="1"/>
  <c r="O346" i="1"/>
  <c r="O333" i="1"/>
  <c r="P387" i="1"/>
  <c r="P386" i="1"/>
  <c r="N169" i="1"/>
  <c r="N127" i="1"/>
  <c r="N214" i="1"/>
  <c r="N45" i="1"/>
  <c r="AG12" i="2"/>
  <c r="T229" i="1"/>
  <c r="T258" i="1" s="1"/>
  <c r="O361" i="1"/>
  <c r="O359" i="1"/>
  <c r="AF15" i="2"/>
  <c r="Q14" i="2"/>
  <c r="U229" i="1"/>
  <c r="U258" i="1" s="1"/>
  <c r="O345" i="1"/>
  <c r="I10" i="2"/>
  <c r="P10" i="2"/>
  <c r="N39" i="1"/>
  <c r="N82" i="1"/>
  <c r="E11" i="2" s="1"/>
  <c r="I11" i="2" s="1"/>
  <c r="P11" i="2" s="1"/>
  <c r="N81" i="1"/>
  <c r="K81" i="1" s="1"/>
  <c r="J81" i="1" s="1"/>
  <c r="N229" i="1"/>
  <c r="O258" i="1"/>
  <c r="H13" i="2" s="1"/>
  <c r="O217" i="1"/>
  <c r="O172" i="1"/>
  <c r="N73" i="1"/>
  <c r="C11" i="2" s="1"/>
  <c r="Q10" i="2"/>
  <c r="P259" i="1"/>
  <c r="Q12" i="2"/>
  <c r="I15" i="2"/>
  <c r="P15" i="2" s="1"/>
  <c r="O267" i="1"/>
  <c r="R217" i="1"/>
  <c r="R259" i="1" s="1"/>
  <c r="N143" i="1"/>
  <c r="K14" i="2"/>
  <c r="AJ14" i="2" s="1"/>
  <c r="Z208" i="1"/>
  <c r="N197" i="1"/>
  <c r="C15" i="2" s="1"/>
  <c r="U61" i="1"/>
  <c r="T61" i="1"/>
  <c r="N21" i="1"/>
  <c r="B10" i="2" s="1"/>
  <c r="N79" i="1"/>
  <c r="D11" i="2" s="1"/>
  <c r="AF13" i="2"/>
  <c r="Q13" i="2"/>
  <c r="J16" i="2"/>
  <c r="Q16" i="2" s="1"/>
  <c r="N37" i="1"/>
  <c r="D10" i="2" s="1"/>
  <c r="N111" i="1"/>
  <c r="C12" i="2" s="1"/>
  <c r="N154" i="1"/>
  <c r="C14" i="2" s="1"/>
  <c r="N101" i="1"/>
  <c r="B12" i="2" s="1"/>
  <c r="N119" i="1"/>
  <c r="D12" i="2" s="1"/>
  <c r="N160" i="1"/>
  <c r="D14" i="2" s="1"/>
  <c r="K11" i="2"/>
  <c r="K10" i="2"/>
  <c r="AJ10" i="2" s="1"/>
  <c r="O130" i="1"/>
  <c r="N182" i="1"/>
  <c r="N205" i="1"/>
  <c r="R11" i="2" l="1"/>
  <c r="AJ11" i="2"/>
  <c r="Y10" i="2"/>
  <c r="AO10" i="2" s="1"/>
  <c r="K39" i="1"/>
  <c r="J39" i="1" s="1"/>
  <c r="H10" i="2"/>
  <c r="Y12" i="2"/>
  <c r="AO12" i="2" s="1"/>
  <c r="Y15" i="2"/>
  <c r="AO15" i="2" s="1"/>
  <c r="Y14" i="2"/>
  <c r="AO14" i="2" s="1"/>
  <c r="L16" i="2"/>
  <c r="B13" i="2"/>
  <c r="G13" i="2" s="1"/>
  <c r="S13" i="2" s="1"/>
  <c r="AB13" i="2" s="1"/>
  <c r="N258" i="1"/>
  <c r="H11" i="2"/>
  <c r="O11" i="2" s="1"/>
  <c r="E16" i="2"/>
  <c r="I16" i="2"/>
  <c r="P16" i="2" s="1"/>
  <c r="AA208" i="1"/>
  <c r="AA209" i="1" s="1"/>
  <c r="N185" i="1"/>
  <c r="B15" i="2" s="1"/>
  <c r="C16" i="2"/>
  <c r="D15" i="2"/>
  <c r="D16" i="2" s="1"/>
  <c r="N130" i="1"/>
  <c r="H12" i="2"/>
  <c r="U160" i="1"/>
  <c r="T160" i="1"/>
  <c r="T119" i="1"/>
  <c r="U112" i="1"/>
  <c r="U119" i="1" s="1"/>
  <c r="T154" i="1"/>
  <c r="U154" i="1"/>
  <c r="T111" i="1"/>
  <c r="U111" i="1"/>
  <c r="U37" i="1"/>
  <c r="T37" i="1"/>
  <c r="T79" i="1"/>
  <c r="T90" i="1" s="1"/>
  <c r="U79" i="1"/>
  <c r="U90" i="1" s="1"/>
  <c r="T205" i="1"/>
  <c r="U205" i="1"/>
  <c r="N172" i="1"/>
  <c r="H14" i="2"/>
  <c r="N217" i="1"/>
  <c r="H15" i="2"/>
  <c r="R10" i="2"/>
  <c r="R13" i="2"/>
  <c r="AG13" i="2"/>
  <c r="T185" i="1"/>
  <c r="U185" i="1"/>
  <c r="G10" i="2"/>
  <c r="T197" i="1"/>
  <c r="U197" i="1"/>
  <c r="M13" i="2"/>
  <c r="O13" i="2"/>
  <c r="B14" i="2"/>
  <c r="K15" i="2"/>
  <c r="AJ15" i="2" s="1"/>
  <c r="G12" i="2"/>
  <c r="O259" i="1"/>
  <c r="G11" i="2"/>
  <c r="S11" i="2" s="1"/>
  <c r="Z11" i="2" s="1"/>
  <c r="T101" i="1"/>
  <c r="U101" i="1"/>
  <c r="T21" i="1"/>
  <c r="U21" i="1"/>
  <c r="AG14" i="2"/>
  <c r="R14" i="2"/>
  <c r="T143" i="1"/>
  <c r="U143" i="1"/>
  <c r="AF10" i="2" l="1"/>
  <c r="AF16" i="2" s="1"/>
  <c r="AJ16" i="2"/>
  <c r="T172" i="1"/>
  <c r="U172" i="1"/>
  <c r="W16" i="2"/>
  <c r="Y16" i="2" s="1"/>
  <c r="T48" i="1"/>
  <c r="S12" i="2"/>
  <c r="Z12" i="2" s="1"/>
  <c r="AO16" i="2"/>
  <c r="S10" i="2"/>
  <c r="U130" i="1"/>
  <c r="Z13" i="2"/>
  <c r="AA13" i="2"/>
  <c r="T130" i="1"/>
  <c r="N259" i="1"/>
  <c r="M11" i="2"/>
  <c r="T217" i="1"/>
  <c r="U217" i="1"/>
  <c r="U48" i="1"/>
  <c r="G15" i="2"/>
  <c r="S15" i="2" s="1"/>
  <c r="AA15" i="2" s="1"/>
  <c r="AA11" i="2"/>
  <c r="AB11" i="2"/>
  <c r="M10" i="2"/>
  <c r="O10" i="2"/>
  <c r="H16" i="2"/>
  <c r="R15" i="2"/>
  <c r="AG15" i="2"/>
  <c r="G14" i="2"/>
  <c r="S14" i="2" s="1"/>
  <c r="B16" i="2"/>
  <c r="K16" i="2"/>
  <c r="O15" i="2"/>
  <c r="M15" i="2"/>
  <c r="O14" i="2"/>
  <c r="M14" i="2"/>
  <c r="M12" i="2"/>
  <c r="O12" i="2"/>
  <c r="R16" i="2" l="1"/>
  <c r="AA12" i="2"/>
  <c r="AB12" i="2"/>
  <c r="AA10" i="2"/>
  <c r="Z10" i="2"/>
  <c r="AG10" i="2" s="1"/>
  <c r="AG16" i="2" s="1"/>
  <c r="AB10" i="2"/>
  <c r="Z15" i="2"/>
  <c r="AB15" i="2"/>
  <c r="U259" i="1"/>
  <c r="AB14" i="2"/>
  <c r="AA14" i="2"/>
  <c r="Z14" i="2"/>
  <c r="AD13" i="2"/>
  <c r="T259" i="1"/>
  <c r="AD11" i="2"/>
  <c r="G16" i="2"/>
  <c r="S16" i="2" s="1"/>
  <c r="M16" i="2"/>
  <c r="O16" i="2"/>
  <c r="AA16" i="2" l="1"/>
  <c r="Z16" i="2"/>
  <c r="AB16" i="2"/>
  <c r="AD10" i="2"/>
  <c r="AD15" i="2"/>
  <c r="AD14" i="2"/>
  <c r="AD12" i="2"/>
  <c r="AD16" i="2" l="1"/>
  <c r="U69" i="5"/>
  <c r="X71" i="5" l="1"/>
  <c r="AB70" i="5"/>
  <c r="U196" i="5"/>
  <c r="V85" i="5"/>
  <c r="T85" i="5" l="1"/>
  <c r="C15" i="4" l="1"/>
  <c r="C21" i="4" s="1"/>
  <c r="T69" i="5"/>
  <c r="T196" i="5" s="1"/>
  <c r="B21" i="4" l="1"/>
  <c r="F15" i="4"/>
  <c r="F21" i="4" s="1"/>
  <c r="AH15" i="4"/>
</calcChain>
</file>

<file path=xl/sharedStrings.xml><?xml version="1.0" encoding="utf-8"?>
<sst xmlns="http://schemas.openxmlformats.org/spreadsheetml/2006/main" count="2584" uniqueCount="652">
  <si>
    <t>Приложение № 3</t>
  </si>
  <si>
    <t>2. Общеобразовательные учреждения</t>
  </si>
  <si>
    <t>Наименование учреждения</t>
  </si>
  <si>
    <t>Наименование услуги и уникальный номер реестровой записи</t>
  </si>
  <si>
    <t>Форма организации обучения детей</t>
  </si>
  <si>
    <t>Ед. изм. объема услуги</t>
  </si>
  <si>
    <t>Значение объема муниципальной услуги (работы)</t>
  </si>
  <si>
    <t>Базовый норматив затрат на единицу объема</t>
  </si>
  <si>
    <t>Нормативные затраты на оказание муниципальной услуги (работы)</t>
  </si>
  <si>
    <t>Всего:</t>
  </si>
  <si>
    <t>краевой норматив на общеобразовательные программы</t>
  </si>
  <si>
    <t>краевой норматив на административно-управленч. и учебно-вспомогат.персонал</t>
  </si>
  <si>
    <t>норматив финансирования из местного бюджета, МРОТ</t>
  </si>
  <si>
    <t>в т.ч на  общеобразовательные программы</t>
  </si>
  <si>
    <t>на содержание административно-управленч. и учебно-вспомогат.персонал</t>
  </si>
  <si>
    <t>МРОТ краевой</t>
  </si>
  <si>
    <t>за счет финансирования из местного бюджета</t>
  </si>
  <si>
    <t>МРОТ местный</t>
  </si>
  <si>
    <t>в соответствии с реестром</t>
  </si>
  <si>
    <t>по ОКЕИ</t>
  </si>
  <si>
    <t>в натуральных показателях</t>
  </si>
  <si>
    <t>в рублях</t>
  </si>
  <si>
    <t>МБОУ Школа №2 им.Ю.А.Гагарина</t>
  </si>
  <si>
    <t>Обучение детей  в образовательных организациях, реализующих программы общего образования (k = 1)</t>
  </si>
  <si>
    <t>человек</t>
  </si>
  <si>
    <t>Инклюзивное обучение детей c ограниченными возможностями здоровья в общеобразовательных классах образовательных организаций (k = 9) в т.ч.:</t>
  </si>
  <si>
    <t>х</t>
  </si>
  <si>
    <t>t=4</t>
  </si>
  <si>
    <t>t=5</t>
  </si>
  <si>
    <t>t=6</t>
  </si>
  <si>
    <t>t=7</t>
  </si>
  <si>
    <t>t=8</t>
  </si>
  <si>
    <t>t=9</t>
  </si>
  <si>
    <t>t=10</t>
  </si>
  <si>
    <t>t=12</t>
  </si>
  <si>
    <t>Индивидуальное обучение детей при наличии соответствующего медицинского заключения и детей-инвалидов на дому (k = 10) город</t>
  </si>
  <si>
    <t>Доплата за классное рук</t>
  </si>
  <si>
    <t>кл/комп</t>
  </si>
  <si>
    <t>итого по услуге:</t>
  </si>
  <si>
    <t>Инклюзивное обучение детей c ограниченными возможностями здоровья в общеобразовательных классах образовательных организаций (k = 9)</t>
  </si>
  <si>
    <t>Заочное обучение детей в образовательных организациях, реализующие основные общеобразовательные программы (k =13)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</si>
  <si>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</si>
  <si>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 xml:space="preserve"> </t>
  </si>
  <si>
    <t>На увелич.оплаты труда отдел.катег.раб.</t>
  </si>
  <si>
    <t>краевой бюджет</t>
  </si>
  <si>
    <t>Обеспечение групп продленного дня</t>
  </si>
  <si>
    <t>кол.</t>
  </si>
  <si>
    <t>Доплата за кл.руководство</t>
  </si>
  <si>
    <t>молодой специалист</t>
  </si>
  <si>
    <t>Повышение 10% АУП</t>
  </si>
  <si>
    <t>Всего по учреждению:</t>
  </si>
  <si>
    <t>МБОУ СОШ №4</t>
  </si>
  <si>
    <t>t=11</t>
  </si>
  <si>
    <t xml:space="preserve">Доплата до МРОТ </t>
  </si>
  <si>
    <t>местный бюджет</t>
  </si>
  <si>
    <t>Доплата до МРОТ(разница)</t>
  </si>
  <si>
    <t>МБОУ СОШ №5</t>
  </si>
  <si>
    <t>t=2</t>
  </si>
  <si>
    <t>Доплата за классное рук.</t>
  </si>
  <si>
    <t>кл./комп</t>
  </si>
  <si>
    <t>МБОУ СОШ № 9</t>
  </si>
  <si>
    <t>МАОУ гимназия №10</t>
  </si>
  <si>
    <t>Обучение детей, находящихся на длительном лечении в медицинских учреждениях (индивидуальное, групповое) (k = 11)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</si>
  <si>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</si>
  <si>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Дополнительное образование детей в образовательных организациях, реализующих основные общеобразовательные программы (город) в т.ч.: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</si>
  <si>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</si>
  <si>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Ведение бух.учета</t>
  </si>
  <si>
    <t>Доп.на ведение бух.учета</t>
  </si>
  <si>
    <t>МБОУ СОШ № 7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</si>
  <si>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</si>
  <si>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</si>
  <si>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</si>
  <si>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</si>
  <si>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Индивидуальное обучение детей при наличии соответствующего медицинского заключения и детей-инвалидов на дому (k = 10) село</t>
  </si>
  <si>
    <t>Обучение детей, находящихся на длительном лечении в медицинских учреждениях (индивидуальное, групповое) (k = 11) село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</si>
  <si>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</si>
  <si>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>ВСЕГО:</t>
  </si>
  <si>
    <t>Гайлит Светлана Геннадьевна (39144)3-79-43</t>
  </si>
  <si>
    <t>Мисько Галина Владимировна (39144)3-16-33</t>
  </si>
  <si>
    <t>АУП</t>
  </si>
  <si>
    <t>пед.</t>
  </si>
  <si>
    <t>местн</t>
  </si>
  <si>
    <t>МБОУ №2</t>
  </si>
  <si>
    <t>МБОУ №4</t>
  </si>
  <si>
    <t>МБОУ №5</t>
  </si>
  <si>
    <t>МБОУ №9</t>
  </si>
  <si>
    <t>МАОУ №10</t>
  </si>
  <si>
    <t>МБОУ №7</t>
  </si>
  <si>
    <t>Приложение № 4 к приказу</t>
  </si>
  <si>
    <t>1.  Общеобразовательные учреждения</t>
  </si>
  <si>
    <t>Всего  нормативных затрат на оказание услуг (работ) по учреждению</t>
  </si>
  <si>
    <t>в том числе по источникам финансирования:</t>
  </si>
  <si>
    <t>Объем муниципального задания 2023 год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</si>
  <si>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общеобразовательных общеразвивающих программ</t>
    </r>
  </si>
  <si>
    <t>Доплата за классное руководство</t>
  </si>
  <si>
    <t>краевые субвенции на  общеобразоват-е программы</t>
  </si>
  <si>
    <t>краевые субвенции на  реализацию дополнительных общеобразоват-х программ</t>
  </si>
  <si>
    <t>краевые субвенции на содержание административно-управленч. и учебно-вспомогат.персонал</t>
  </si>
  <si>
    <t>В т.ч. Иные цели за счет краевых средств</t>
  </si>
  <si>
    <t>краевые субвенции на  общеобразовательные программы</t>
  </si>
  <si>
    <t>Реализация дополнительных общеобразовательных общеразвивающих программ</t>
  </si>
  <si>
    <t>краевые субвенции на  общеобразовательные программы  (0702)</t>
  </si>
  <si>
    <t>Реализация дополнительных общеобразовательных общеразвивающих программ  (0703)</t>
  </si>
  <si>
    <t>Ежемесячное вознаграждение за классное руководство</t>
  </si>
  <si>
    <t xml:space="preserve">Всего объем финасового обеспечения муниципального задания </t>
  </si>
  <si>
    <t>МБОУ "Школа №2 им. Ю.А.Гагарина"</t>
  </si>
  <si>
    <t>МБОУ СОШ №7</t>
  </si>
  <si>
    <t>МБОУ СОШ №9</t>
  </si>
  <si>
    <t>Итого по школам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</si>
  <si>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</si>
  <si>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Наименование услуги</t>
  </si>
  <si>
    <t>Форма организации обучения. Направленность групп</t>
  </si>
  <si>
    <t>в т.ч. Местный бюджет</t>
  </si>
  <si>
    <t>Итого:</t>
  </si>
  <si>
    <t>в соответствии с перечнем</t>
  </si>
  <si>
    <t>в т.ч. Краевой бюджет адм-упр.и уч.-вспом. Персонал,руб.</t>
  </si>
  <si>
    <t>Доплата до МРОТ краевой бюджет</t>
  </si>
  <si>
    <t>в т.ч. Местный бюджет, руб.</t>
  </si>
  <si>
    <t>Доплата до МРОТ местный бюджет</t>
  </si>
  <si>
    <t>в т.ч. ВНЕбюджет, руб.</t>
  </si>
  <si>
    <t>МБДОУ д/с № 4</t>
  </si>
  <si>
    <t>801011О.99.0.БВ24ДП02000; 801011О.99.0.БВ24ДН82000; 801011О.99.0.БВ24ГД82000; 801011О.99.0.БВ24АУ02000; 801011О.99.0.БВ24АВ42000;</t>
  </si>
  <si>
    <t>Реализация основных общеобразовательных программ дошкольного образования</t>
  </si>
  <si>
    <t>до 3 лет (b3)</t>
  </si>
  <si>
    <t>чел.</t>
  </si>
  <si>
    <t>от 3 до 7 лет (b8)</t>
  </si>
  <si>
    <t>дети до 3 лет (b3)</t>
  </si>
  <si>
    <t>853211О.99.0.БВ19АА68000; 853211О.99.0.БВ19АА56000; 853211О.99.0.БВ19АБ82000; 853211О.99.0.БВ19АА20000</t>
  </si>
  <si>
    <r>
      <rPr>
        <b/>
        <sz val="11"/>
        <rFont val="Times New Roman"/>
        <family val="1"/>
        <charset val="204"/>
      </rPr>
      <t>Присмотр и уход</t>
    </r>
  </si>
  <si>
    <t>внебюджет</t>
  </si>
  <si>
    <t>МБДОУ д/с № 7</t>
  </si>
  <si>
    <t>Присмотр и уход</t>
  </si>
  <si>
    <t>Повышение на4,3%</t>
  </si>
  <si>
    <t>Повышение оплаты труда до целевого показателя</t>
  </si>
  <si>
    <t>АУП 4,3%</t>
  </si>
  <si>
    <t>МБДОУ д/с № 9</t>
  </si>
  <si>
    <t>МБДОУ д/с № 10</t>
  </si>
  <si>
    <t>до 3 лет  (b3)</t>
  </si>
  <si>
    <t>МБДОУ д/с № 12</t>
  </si>
  <si>
    <t>до 3 лет (b=3)</t>
  </si>
  <si>
    <t>МБДОУ д/с № 13</t>
  </si>
  <si>
    <t>МБДОУ д/с № 14</t>
  </si>
  <si>
    <t>МБДОУ д/с № 15</t>
  </si>
  <si>
    <t>МБДОУ д/с № 18</t>
  </si>
  <si>
    <t>МАДОУ д/с№ 17</t>
  </si>
  <si>
    <t>ИТОГО</t>
  </si>
  <si>
    <t>Ковалева Лариса Валерьевна (39144)3-79-43</t>
  </si>
  <si>
    <t>2. Дошкольные образовательные учреждения</t>
  </si>
  <si>
    <t>Всего нормативных затрат на оказание услуг (работ) по учреждению</t>
  </si>
  <si>
    <t>в том числе по источникам финансирования</t>
  </si>
  <si>
    <t>Коэффициент выравнивания до предельного объема финансирования в 2017 году к Присмотру и уходу</t>
  </si>
  <si>
    <t>Коэффициент выравнивания до предельного объема финансирования в 2017 году к Реализации основных общеобразовательных программ дошкольного образования</t>
  </si>
  <si>
    <t>Краевой бюджет</t>
  </si>
  <si>
    <t>Местный бюджет</t>
  </si>
  <si>
    <t>Присмотр и уход (местный бюджет)</t>
  </si>
  <si>
    <t>Присмотр и уход (родительская плата)</t>
  </si>
  <si>
    <t>за счет краевого бюджета на обеспечение учебного процесса</t>
  </si>
  <si>
    <t>За счет краевого бюджета на административно-управленческий и учебно-вспомогательный персонал</t>
  </si>
  <si>
    <t>присмотр и уход за счет местного бюджета</t>
  </si>
  <si>
    <t>в т.ч. за счет краевого бюджета на обеспечение учебного процесса</t>
  </si>
  <si>
    <t>в т.ч.  За счет краевого бюджета на административно-управленческий и учебно-вспомогат-й персонал</t>
  </si>
  <si>
    <t>в т.ч.  За счет местного бюджета</t>
  </si>
  <si>
    <r>
      <t>в т.ч.  За счет местного бюджета</t>
    </r>
    <r>
      <rPr>
        <sz val="8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(с питанием)</t>
    </r>
  </si>
  <si>
    <t xml:space="preserve">Присмотр и уход (за счет родительской платы)  </t>
  </si>
  <si>
    <t>Всего объем финасового обеспечения муниципального задания (за минусом доходов от предпринимательской деятельности)</t>
  </si>
  <si>
    <t>МБДОУ д/с №14</t>
  </si>
  <si>
    <t>МАДОУ д/с № 17</t>
  </si>
  <si>
    <t>3. Учреждения дополнительного образования детей (местный бюджет)</t>
  </si>
  <si>
    <t>Корректировка бюджета 16.02.22г.</t>
  </si>
  <si>
    <t>Базовый норматив затрат на единицу объема, на 16.02.22г.</t>
  </si>
  <si>
    <t>Нормативные затраты на оказание муницп-й услуги, на 16.02.22г.</t>
  </si>
  <si>
    <t>Корректировка бюджета 01.06.22г.</t>
  </si>
  <si>
    <t>Базовый норматив затрат на единицу объема, на 01.06.22г.</t>
  </si>
  <si>
    <t>Нормативные затраты на оказание муницп-й услуги, на 01.06.22г.</t>
  </si>
  <si>
    <t>Корректировка бюджета 27.07.22г.</t>
  </si>
  <si>
    <t>Базовый норматив затрат на единицу объема, на 27.07.22г.</t>
  </si>
  <si>
    <t>Нормативные затраты на оказание муницп-й услуги, на 27.07.22г.</t>
  </si>
  <si>
    <t>Корректировка бюджета 14.09.22г.</t>
  </si>
  <si>
    <t>Базовый норматив затрат на единицу объема, на 14.09.22г.</t>
  </si>
  <si>
    <t>Нормативные затраты на оказание муницп-й услуги, на 14.09.22г.</t>
  </si>
  <si>
    <t>Корректировка бюджета 23.11.22г.</t>
  </si>
  <si>
    <t>Базовый норматив затрат на единицу объема, на 23.11.22г.</t>
  </si>
  <si>
    <t>Нормативные затраты на оказание муницп-й услуги, на 23.11.22г.</t>
  </si>
  <si>
    <t>Корректировка бюджета 21.12.22г.</t>
  </si>
  <si>
    <t>Базовый норматив затрат на единицу объема, на 21.12.22г.</t>
  </si>
  <si>
    <t>Нормативные затраты на оказание муницп-й услуги, на 21.12.22г.</t>
  </si>
  <si>
    <t>Базовый норматив затрат на единицу объема, на 11.01.21г.</t>
  </si>
  <si>
    <t>Нормативные затраты на оказание муницп-й услуги, на 11.01.21г.</t>
  </si>
  <si>
    <t>Базовый норматив затрат на единицу объема, на 17.02.21г.</t>
  </si>
  <si>
    <t>Нормативные затраты на оказание муницп-й услуги, на 17.02.21г.</t>
  </si>
  <si>
    <t>Базовый норматив затрат на единицу объема, на 31.03.21г.</t>
  </si>
  <si>
    <t>Нормативные затраты на оказание муницп-й услуги, на 31.03.21г.</t>
  </si>
  <si>
    <t>Базовый норматив затрат на единицу объема, на 26.05.21г.</t>
  </si>
  <si>
    <t>Нормативные затраты на оказание муницп-й услуги, на 26.05.21г.</t>
  </si>
  <si>
    <t>Базовый норматив затрат на единицу объема, на 01.10.21г.</t>
  </si>
  <si>
    <t>Нормативные затраты на оказание муницп-й услуги, на 01.10.21г.</t>
  </si>
  <si>
    <t>2019 год c 01.09.2019</t>
  </si>
  <si>
    <t>2019 год срзнач.</t>
  </si>
  <si>
    <t>решение №19-118-ГС от 16.02.2022г.</t>
  </si>
  <si>
    <t>решение №23-144-ГС от 01.06.2022г.</t>
  </si>
  <si>
    <t>решение №25-160-ГС от 27.07.2022г.</t>
  </si>
  <si>
    <t>решение №26-161-ГС от 14.09.2022г.</t>
  </si>
  <si>
    <t>решение №…..-ГС от 23.11.2022г.</t>
  </si>
  <si>
    <t>решение №…..-ГС от 21.12.2022г.</t>
  </si>
  <si>
    <t>(чел/час)</t>
  </si>
  <si>
    <t>2023г.</t>
  </si>
  <si>
    <t>2024г.</t>
  </si>
  <si>
    <t>2025г.</t>
  </si>
  <si>
    <t>добавить к з/п в прилож.№2</t>
  </si>
  <si>
    <t>объем, 2021г.</t>
  </si>
  <si>
    <t>2021г.</t>
  </si>
  <si>
    <t>руб.</t>
  </si>
  <si>
    <t>сумма на МЗ (без спорта)</t>
  </si>
  <si>
    <t>33 417 035,12 сумма на МЗ со спортом</t>
  </si>
  <si>
    <t>сумма на МЗ (без работ-спорта)</t>
  </si>
  <si>
    <t>34 422 689,12 сумма на МЗ со спортом</t>
  </si>
  <si>
    <t>34 259 407,28 сумма на МЗ со споортом</t>
  </si>
  <si>
    <t>34 810 160,28 сумма на МЗ со споортом</t>
  </si>
  <si>
    <t>36087914,28 сумма на МЗ со споортом</t>
  </si>
  <si>
    <t>36683062,96 сумма на МЗ со споортом</t>
  </si>
  <si>
    <t>МБОУ ДО "ДДТ"</t>
  </si>
  <si>
    <t>чел.-час.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</si>
  <si>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</si>
  <si>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804200О.99.0.ББ52А368000</t>
  </si>
  <si>
    <t>Реализация дополнительных общеразвивающих программ (художественное направление) 804200О.99.0.ББ52АЕ76000</t>
  </si>
  <si>
    <t>чел/час</t>
  </si>
  <si>
    <t>ИТОГО по  услуге :</t>
  </si>
  <si>
    <t>Услуга 1</t>
  </si>
  <si>
    <t>сумма на ПФ</t>
  </si>
  <si>
    <t>Методическое обеспечение образовательной деятельности Р.01.1.0007.0001.002</t>
  </si>
  <si>
    <t xml:space="preserve"> кол-во мероприятий</t>
  </si>
  <si>
    <t>ИТОГО по  работе :</t>
  </si>
  <si>
    <t>Работа 1</t>
  </si>
  <si>
    <t>на 2021г.</t>
  </si>
  <si>
    <t>на 2022-23г.</t>
  </si>
  <si>
    <t>Краевая доплата пед.работ.</t>
  </si>
  <si>
    <t>Повышение на 10%</t>
  </si>
  <si>
    <t>Доплата до МРОТ разница</t>
  </si>
  <si>
    <t>Доплата до МРОТ</t>
  </si>
  <si>
    <t>Итого по учреждению:</t>
  </si>
  <si>
    <t>на 2023г.</t>
  </si>
  <si>
    <t>на 2024-25г.</t>
  </si>
  <si>
    <t>Нормативные затраты на оказание муницп-й услуги, на 11.01.22г.</t>
  </si>
  <si>
    <t>сумма на спорт.объекты</t>
  </si>
  <si>
    <t>без ПФ</t>
  </si>
  <si>
    <t>сумма на МЗ</t>
  </si>
  <si>
    <t>Сумма финансир-я</t>
  </si>
  <si>
    <t>Мисько Галина Владимировна  (39144)3-16-33</t>
  </si>
  <si>
    <t>по бюджетной росписи</t>
  </si>
  <si>
    <t>сумма на объекты спорта и метод.обесп.</t>
  </si>
  <si>
    <t>корректировка 26.05.2021г.</t>
  </si>
  <si>
    <t>разница суммы финансирования м/у 22годом и 23-24годами</t>
  </si>
  <si>
    <t>Нормативные затраты на оказание муницп-й услуги, на 26.01.22г.</t>
  </si>
  <si>
    <t>МЗ + ПФ</t>
  </si>
  <si>
    <t>корректировка 29.09.2021г.</t>
  </si>
  <si>
    <t>МЗ</t>
  </si>
  <si>
    <t>спорт</t>
  </si>
  <si>
    <t>2024-2025гг</t>
  </si>
  <si>
    <t>усл.</t>
  </si>
  <si>
    <t>сумма на м/б по МЗ (усл.1+спорт+метод.обесп)</t>
  </si>
  <si>
    <t>ПФ</t>
  </si>
  <si>
    <t>сумма на услугу1</t>
  </si>
  <si>
    <t>минус с МЗ</t>
  </si>
  <si>
    <t>на эту сумму уменьшить норматив на 24-25гг</t>
  </si>
  <si>
    <t xml:space="preserve">Приложение № 4 к Приказу </t>
  </si>
  <si>
    <t>3. Учреждения дополнительного образования детей</t>
  </si>
  <si>
    <t xml:space="preserve">Реализация дополнительных общеразвивающих программ (учреждения дополнительного образования детей) </t>
  </si>
  <si>
    <t xml:space="preserve">Реализация дополнительных общеразвивающих программ (естественно-научное направление) 804200О.99.0.ББ52АЕ28000 </t>
  </si>
  <si>
    <t>Корректировка бюджета 25.01.23г.</t>
  </si>
  <si>
    <t>решение №30-196-ГС от 25.01.2023г.</t>
  </si>
  <si>
    <t>Базовый норматив затрат на единицу объема, на 25.01.23г.</t>
  </si>
  <si>
    <t>Нормативные затраты на оказание муницп-й услуги, на 25.01.23г.</t>
  </si>
  <si>
    <t>м/б - сумма на МЗ (без спорта)</t>
  </si>
  <si>
    <t>м/б - сумма на МЗ (спорт)</t>
  </si>
  <si>
    <t>м/б - сумма на МЗ (со спортом), по бюджетн.росписи</t>
  </si>
  <si>
    <t>ПФ - сумма без изменений, по бюджетн.росписи</t>
  </si>
  <si>
    <t>реализация основных, общеобразовательных программ (МБ)</t>
  </si>
  <si>
    <t>Всего за счет местного бюджета</t>
  </si>
  <si>
    <t>в том числе:</t>
  </si>
  <si>
    <t>в том числе по услугам:</t>
  </si>
  <si>
    <t>коэф-т объема финансирования к нормативу</t>
  </si>
  <si>
    <t>коэф-т выше 1,0, т.к. в январе 2023г.были выделены доп.суммы на рег.выплаты(9месяцев), т.е. это МРОТ, а в нормативах этой суммы -нет.</t>
  </si>
  <si>
    <t>1. Дошкольные образовательные учреждения</t>
  </si>
  <si>
    <t>К1 Группы общеразвивающей направленности (за исключением малокомплектных образовательных организаций) (1 группа)</t>
  </si>
  <si>
    <t>К2 Группы компенсирующей направленности (за исключением малокомплектных образовательных организаций) (3группы)</t>
  </si>
  <si>
    <t>K1 Группы общеразвивающей направленности (за исключением малокомплектных образовательных организаций) (1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</si>
  <si>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</si>
  <si>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К9 Группы общеразвив. направленности, в которых воспитанники посещают бассейн (1группа)</t>
  </si>
  <si>
    <t>К9 Группы общеразвивающей направленности, в которых воспитанники посещают бассейн (1группа)</t>
  </si>
  <si>
    <t>К11 Группы комбинированной направленности, в которых воспитанники посещают бассейн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</si>
  <si>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(6групп)</t>
  </si>
  <si>
    <t>К1 Группы общеразвивающей направленности (за исключением малокомплектных образовательных организаций) (1группа)</t>
  </si>
  <si>
    <t>итого:</t>
  </si>
  <si>
    <t xml:space="preserve">Всего объем финасового обеспечения на выполнение МЗ </t>
  </si>
  <si>
    <r>
      <t xml:space="preserve">в т.ч.  За счет краевого бюджета на административно-управленческий и учебно-вспомогательный персонал              </t>
    </r>
    <r>
      <rPr>
        <i/>
        <sz val="5"/>
        <rFont val="Times New Roman"/>
        <family val="1"/>
        <charset val="204"/>
      </rPr>
      <t xml:space="preserve"> </t>
    </r>
  </si>
  <si>
    <r>
      <t>в т.ч. за счет краевого бюджета на обеспечение учебного процесса</t>
    </r>
    <r>
      <rPr>
        <i/>
        <sz val="5"/>
        <rFont val="Times New Roman"/>
        <family val="1"/>
        <charset val="204"/>
      </rPr>
      <t xml:space="preserve"> </t>
    </r>
  </si>
  <si>
    <t>Корректировка бюджета 29.03.23г.</t>
  </si>
  <si>
    <t>решение №...-...-ГС от 29.03.2023г.</t>
  </si>
  <si>
    <t>Базовый норматив затрат на единицу объема, на 29.03.23г.</t>
  </si>
  <si>
    <t>Нормативные затраты на оказание муницп-й услуги, на 29.03.23г.</t>
  </si>
  <si>
    <r>
      <t>Реализация</t>
    </r>
    <r>
      <rPr>
        <b/>
        <sz val="11"/>
        <rFont val="Times New Roman"/>
        <family val="1"/>
        <charset val="204"/>
      </rPr>
      <t xml:space="preserve"> 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</si>
  <si>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решение ГС №34-205-НПА от 24.05.23г.</t>
  </si>
  <si>
    <t>Корректировка бюджета 24.05.23г.</t>
  </si>
  <si>
    <t>Базовый норматив затрат на единицу объема, на 24.05.23г.</t>
  </si>
  <si>
    <t>Нормативные затраты на оказание муницп-й услуги, на 24.05.23г.</t>
  </si>
  <si>
    <t>разница между доходом по ПФ и заявкой</t>
  </si>
  <si>
    <t>направленность</t>
  </si>
  <si>
    <t>техническая</t>
  </si>
  <si>
    <t>естественно-науч.</t>
  </si>
  <si>
    <t>плюсом- кол-во чел/час (1вар)</t>
  </si>
  <si>
    <t>плюсом- кол-во чел/час (вар.2 с 01.09.23г)</t>
  </si>
  <si>
    <t>сред.норматив</t>
  </si>
  <si>
    <t>итого доход учреждения по ПФ ДОД с учетом суммы заявки на 09.08.23г.</t>
  </si>
  <si>
    <t>сумма краевой субсидии</t>
  </si>
  <si>
    <t>до 3 лет (b3) t1/речь</t>
  </si>
  <si>
    <t>2026 год</t>
  </si>
  <si>
    <t>от 3 до 8 лет (b8)</t>
  </si>
  <si>
    <t xml:space="preserve"> от 3 до 8 лет (b8) t1/речь</t>
  </si>
  <si>
    <t>от 3 до 8 лет (b8) t1/речь</t>
  </si>
  <si>
    <t>от 3 до 8 лет(b8) t1/речь</t>
  </si>
  <si>
    <t>от 3 до 8 лет(b8)</t>
  </si>
  <si>
    <t>от 3 до 8 лет (b=8)</t>
  </si>
  <si>
    <t>от 3 до 8 лет (b=8) t1/речь</t>
  </si>
  <si>
    <t>Объем финансового обеспечения на выполнение муниципального задания на 2026 год</t>
  </si>
  <si>
    <t xml:space="preserve">Объем финансового обеспечения на выполнение муниципального задания на 2026 год </t>
  </si>
  <si>
    <t>от 3 до 8 лет (b8) t7/ДЦП</t>
  </si>
  <si>
    <t xml:space="preserve">от 3 до 8 лет </t>
  </si>
  <si>
    <t>дети инвалиды по МЗ</t>
  </si>
  <si>
    <t>ОВЗ</t>
  </si>
  <si>
    <t>сироты по МЗ</t>
  </si>
  <si>
    <t>по Дорожной карте, в расчете сумма:</t>
  </si>
  <si>
    <t>В бюджетной росписи от 23.12.2023г.сумма на МЗ:</t>
  </si>
  <si>
    <t>Краевая Субсидия: 5 418 386,0 руб., из них на МЗ 39%- 2 113 170,35 руб.</t>
  </si>
  <si>
    <t>Итого по бюджетной росписи:</t>
  </si>
  <si>
    <t>норматив уменьшить на</t>
  </si>
  <si>
    <t>Итого сумма на услугу (без работы "Методич.обеспеч…."), равна:</t>
  </si>
  <si>
    <t>м/б</t>
  </si>
  <si>
    <t>Кол-во ОВЗ на 1чел.больше, т.к.он ещё и надомник</t>
  </si>
  <si>
    <t xml:space="preserve">от 3 до 8 лет (b8) </t>
  </si>
  <si>
    <t>Численность на м/б, на 2024-2026гг</t>
  </si>
  <si>
    <t>Нормативные затраты на оказание муницп-й услуги, на 11.01.24г.</t>
  </si>
  <si>
    <t>Базовый норматив затрат на единицу объема, на 11.01.24г.</t>
  </si>
  <si>
    <t>Корректировка бюджета 24.04.24г.</t>
  </si>
  <si>
    <t>решение ГС №46-288-НПА от 24.04.24г.</t>
  </si>
  <si>
    <t>Базовый норматив затрат на единицу объема, на 24.04.24г.</t>
  </si>
  <si>
    <t>Нормативные затраты на оказание муницп-й услуги, на 24.04.24г.</t>
  </si>
  <si>
    <t>Бюджетная Роспись от 29.12.2023г.</t>
  </si>
  <si>
    <t>Корректировка бюджета от 20.12.2023г</t>
  </si>
  <si>
    <t>решение ДГС №42-252-ГС от 20.12.23г.</t>
  </si>
  <si>
    <t>м/б - сумма на МЗ (с работой "Метод.обеспеч."), по бюджетн.росписи</t>
  </si>
  <si>
    <t>Комун.усл. …8062Т</t>
  </si>
  <si>
    <t>прочие усл. …80620</t>
  </si>
  <si>
    <t>ЗП … 8062Z</t>
  </si>
  <si>
    <t>м/б - сумма на МЗ (работа "Метод.обеспеч.)</t>
  </si>
  <si>
    <t>м/б - сумма на МЗ (без работы)</t>
  </si>
  <si>
    <t>ПФ СЗ сумма по бюджетн.росписи</t>
  </si>
  <si>
    <t>Бюджетная Роспись от 03.06.2024г.</t>
  </si>
  <si>
    <t>ПФ СЗ, …8065Е  квр 614</t>
  </si>
  <si>
    <t>Субсидия на МЗ,  …7568 D</t>
  </si>
  <si>
    <t>Субсидия на ПФ,  …7568 Е</t>
  </si>
  <si>
    <t>софинансирование из м/б,  …S568Е</t>
  </si>
  <si>
    <t>разница (50 368 974,57 - 45 830 885,50)=</t>
  </si>
  <si>
    <t>сумма с софинансир-ем</t>
  </si>
  <si>
    <t>сумма на МЗ без субсидии</t>
  </si>
  <si>
    <t>сумма на МЗ с субсидией</t>
  </si>
  <si>
    <t>сумма без работы</t>
  </si>
  <si>
    <t>Сумма по учреждению без софинансирования,  т.к. эти 59 869,07 руб. из м/б.падают на ПФ СЗ</t>
  </si>
  <si>
    <t>сумма на МЗ с субсидией и прибавила софинансир-е 59 869,07 руб.</t>
  </si>
  <si>
    <t>сумма на МЗ с субсидией и прибавила софинансир-е 59 869,07 руб., но без работы</t>
  </si>
  <si>
    <t>Корректировка бюджета 26.06.24г.</t>
  </si>
  <si>
    <t>решение ГС №49-295-НПА от 26.06.24г.</t>
  </si>
  <si>
    <t>Бюджетная Роспись от 27.06.2024г.</t>
  </si>
  <si>
    <t>Базовый норматив затрат на единицу объема, на 28.06.24г.</t>
  </si>
  <si>
    <t>Нормативные затраты на оказание муницп-й услуги, на 28.06.24г.</t>
  </si>
  <si>
    <t>сумма МЗ без работы</t>
  </si>
  <si>
    <t>сумма на МЗ без работы</t>
  </si>
  <si>
    <t>работа "Метод.обеспеч…"</t>
  </si>
  <si>
    <t>субсидия на МЗ увеличилась на 133 651,56 на доп.места</t>
  </si>
  <si>
    <t>субсидия на СЗ увеличилась на 375 000,00 на доп.места</t>
  </si>
  <si>
    <t>Итого на МЗ:</t>
  </si>
  <si>
    <t>Итого на СЗ:</t>
  </si>
  <si>
    <t>Итого на учрежд-е:</t>
  </si>
  <si>
    <t>Итого на МЗ без работы:</t>
  </si>
  <si>
    <t>Сумма по учреждению с софинансир-ем (59 869,07 руб.) и увелич.субсидии на доп.места по МЗ и ПФ СЗ</t>
  </si>
  <si>
    <t>Корректировка бюджета 07.08.24г.</t>
  </si>
  <si>
    <t>решение ГС №50-301-НПА от 07.08.24г.</t>
  </si>
  <si>
    <t>Бюджетная Роспись от 08.08.2024г.</t>
  </si>
  <si>
    <t>прибавить к нормативу</t>
  </si>
  <si>
    <t>Базовый норматив затрат на единицу объема, на 08.08.24г.</t>
  </si>
  <si>
    <t>Нормативные затраты на оказание муницп-й услуги, на 08.08.24г.</t>
  </si>
  <si>
    <t>Корректировка бюджета 25.09.24г.</t>
  </si>
  <si>
    <t>решение ГС №  -    -НПА от 25.09.24г.</t>
  </si>
  <si>
    <t>Бюджетная Роспись от 30.09.2024г.</t>
  </si>
  <si>
    <t>Базовый норматив затрат на единицу объема, на 30.09.24г.</t>
  </si>
  <si>
    <t>Нормативные затраты на оказание муницп-й услуги, на 30.09.24г.</t>
  </si>
  <si>
    <t>прибавить к нормативу на ПФ</t>
  </si>
  <si>
    <t>ПФ - сумма, по бюджетн.росписи</t>
  </si>
  <si>
    <t>Корректировка бюджета 13.11.24г.</t>
  </si>
  <si>
    <t>Бюджетная Роспись от 15.11.2024г.</t>
  </si>
  <si>
    <t>решение ГС №52-313-НПА от 13.11.24г.</t>
  </si>
  <si>
    <t>Базовый норматив затрат на единицу объема, на 15.11.24г.</t>
  </si>
  <si>
    <t>Нормативные затраты на оказание муницп-й услуги, на 15.11.24г.</t>
  </si>
  <si>
    <t>отнять от норматива на ПФ</t>
  </si>
  <si>
    <t>прибавить к нормативу на МЗ</t>
  </si>
  <si>
    <t>С СЗ сняли и добавили на ПФ на з/п</t>
  </si>
  <si>
    <t>2025-2026гг., было</t>
  </si>
  <si>
    <t>2025-2026гг., стало</t>
  </si>
  <si>
    <t>объем по ПФ СЗ</t>
  </si>
  <si>
    <r>
      <t xml:space="preserve">ср.Численность на м/б, на 2024-2026гг, </t>
    </r>
    <r>
      <rPr>
        <b/>
        <sz val="9"/>
        <rFont val="Times New Roman"/>
        <family val="1"/>
        <charset val="204"/>
      </rPr>
      <t>по МЗ от 01.10.2024г</t>
    </r>
  </si>
  <si>
    <t>Нормативные затраты на оказание муницп-й услуги, на 15.11.24г. (численность изменилась по МЗ от 01.10.24г)</t>
  </si>
  <si>
    <t>Базовый норматив затрат на единицу объема, 2025-2026гг., на 15.11.24г (численность изменилась по МЗ от 01.10.24г)</t>
  </si>
  <si>
    <t>Базовый норматив затрат на единицу объема, 2025-2026гг    (на 11.01.2024г)</t>
  </si>
  <si>
    <t>27.11.2024г.</t>
  </si>
  <si>
    <t>социально-гуманитарная</t>
  </si>
  <si>
    <t>туристско-краеведческая</t>
  </si>
  <si>
    <t>физкультурно-спортивная</t>
  </si>
  <si>
    <t>художественная</t>
  </si>
  <si>
    <t>естественнонаучная</t>
  </si>
  <si>
    <t>в т.ч. Краевой бюджет адм-упр.и уч-вспом. Персонал с коэффициен-м</t>
  </si>
  <si>
    <t>2027 год</t>
  </si>
  <si>
    <t>Объем финансового обеспечения на выполнение муниципального задания на 2027 год</t>
  </si>
  <si>
    <t>2027 год, всего</t>
  </si>
  <si>
    <t>2027г</t>
  </si>
  <si>
    <t xml:space="preserve">Объем финансового обеспечения на выполнение муниципального задания на 2027 год </t>
  </si>
  <si>
    <t>26-27гг-без клас.рук-ва</t>
  </si>
  <si>
    <t xml:space="preserve">до 3  лет (b3) 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</si>
  <si>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</si>
  <si>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K2 Группы компенсирующей направленности (за исключением малокомплектных образовательных организаций)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</si>
  <si>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(3групп)</t>
  </si>
  <si>
    <t>K2 Группы компенсирующей направленности (за исключением малокомплектных образовательных организаций) (2группы)</t>
  </si>
  <si>
    <t>К10 Группы компенсирующей направленности, в которых воспитанники посещают бассейн (2руппы)</t>
  </si>
  <si>
    <t>К11 Группы комбинированной направленности, в которых воспитанники посещают бассейн (3групп)</t>
  </si>
  <si>
    <t>K1 Группы общеразвивающей направленности (за исключением малокомплектных образовательных организаций) (0группа)</t>
  </si>
  <si>
    <t>до 3  лет (b3) t7/ДЦП</t>
  </si>
  <si>
    <t>К9 Группы общеразвив. направленности, в которых воспитанники посещают бассейн (0группа)</t>
  </si>
  <si>
    <t>К10 Группы компенсирующей направленности, в которых воспитанники посещают бассейн (5группы)</t>
  </si>
  <si>
    <t>разновозр, с налич. детей до 3 лет (b3) t7/ДЦП</t>
  </si>
  <si>
    <t>К11 Группы комбинированной направленности, в которых воспитанники посещают бассейн (4групп)</t>
  </si>
  <si>
    <t xml:space="preserve"> до 3 лет (b8)</t>
  </si>
  <si>
    <r>
      <t xml:space="preserve">Всего объем финасового обеспечения муниципального задания      </t>
    </r>
    <r>
      <rPr>
        <b/>
        <i/>
        <sz val="11"/>
        <rFont val="Times New Roman"/>
        <family val="1"/>
        <charset val="204"/>
      </rPr>
      <t>(Без классного руководства)</t>
    </r>
  </si>
  <si>
    <t>Базовый норматив затрат на единицу объема, 2026г</t>
  </si>
  <si>
    <t>Базовый норматив затрат на единицу объема, 2027г</t>
  </si>
  <si>
    <t>1\21</t>
  </si>
  <si>
    <t>5\89</t>
  </si>
  <si>
    <t>2\46</t>
  </si>
  <si>
    <t>2\15</t>
  </si>
  <si>
    <t>с 1 инвалидом</t>
  </si>
  <si>
    <t>K1 Группы общеразвивающей направленности (за исключением малокомплектных образовательных организаций)</t>
  </si>
  <si>
    <t>K3 Группы комбинированной направленности (за исключением малокомплектных образовательных организаций), городской населенный пункт (2группы)</t>
  </si>
  <si>
    <t>K2 Группы компенсирующей направленности (за исключением малокомплектных образовательных организаций) (1группа)</t>
  </si>
  <si>
    <t>К3 Группы комбинированной направленности (за исключением малокомплектных образовательных организаций), городской населенный пункт (3группы)</t>
  </si>
  <si>
    <t>от 3 до 8 лет (b8) t8/речь</t>
  </si>
  <si>
    <t>K1 Группы общеразвивающей направленности (за исключением малокомплектных образовательных организаций) (1группа)</t>
  </si>
  <si>
    <t>на 01.01.2025 год</t>
  </si>
  <si>
    <t>2025год c 01.09.2025</t>
  </si>
  <si>
    <t>4\67</t>
  </si>
  <si>
    <t>4\52</t>
  </si>
  <si>
    <t>Техническая помощь инвалидам</t>
  </si>
  <si>
    <t>Численность на м/б, на 2025г</t>
  </si>
  <si>
    <t>Базовый норматив затрат на единицу объема, на 09.01.25г.</t>
  </si>
  <si>
    <t>Нормативные затраты на оказание муницп-й услуги, на 09.01.25г.</t>
  </si>
  <si>
    <t>Численность на м/б, на 2026г</t>
  </si>
  <si>
    <t>Базовый норматив затрат на единицу объема, на 09.01.26г.</t>
  </si>
  <si>
    <t>Нормативные затраты на оказание муницп-й услуги, на 09.01.26г.</t>
  </si>
  <si>
    <t>Численность на м/б, на 2027г</t>
  </si>
  <si>
    <t>Базовый норматив затрат на единицу объема, на 09.01.27г.</t>
  </si>
  <si>
    <t>Нормативные затраты на оказание муницп-й услуги, на 09.01.27г.</t>
  </si>
  <si>
    <t>2027г.</t>
  </si>
  <si>
    <t>2026г.</t>
  </si>
  <si>
    <t>Корректировка бюджета от 12.02.2025г</t>
  </si>
  <si>
    <t>решение ДГС №54-331-НПА от 12.02.25г.</t>
  </si>
  <si>
    <t>Базовый норматив затрат на единицу объема, на 12.02.25г.</t>
  </si>
  <si>
    <t>Нормативные затраты на оказание муницп-й услуги, на 12.02.25г.</t>
  </si>
  <si>
    <t>Базовый норматив затрат на единицу объема, на 12.02.2026г.</t>
  </si>
  <si>
    <t>Нормативные затраты на оказание муницп-й услуги, на 12.02.2026г.</t>
  </si>
  <si>
    <t>Базовый норматив затрат на единицу объема, на 12.02.2027г.</t>
  </si>
  <si>
    <t>Нормативные затраты на оказание муницп-й услуги, на 12.02.2027г.</t>
  </si>
  <si>
    <t>Базовый норматив затрат на единицу объема, на 26.03.25г.</t>
  </si>
  <si>
    <t>Нормативные затраты на оказание муницп-й услуги, на 26.03.25г.</t>
  </si>
  <si>
    <t>ПФ  МЗ - без изменений</t>
  </si>
  <si>
    <t>добавить к нормативу</t>
  </si>
  <si>
    <t>Корректировка бюджета от 26.03.2025г</t>
  </si>
  <si>
    <t>решение ДГС № 56-341-НПА от 26.03.25г.</t>
  </si>
  <si>
    <t>Корректировка бюджета от 28.05.2025г</t>
  </si>
  <si>
    <t>решение ДГС № 58-351-НПА от 28.05.25г.</t>
  </si>
  <si>
    <t>ПФ  МЗ - увелич.на</t>
  </si>
  <si>
    <t>Базовый норматив затрат на единицу объема, на 30.05.25г.,  по БРосп.</t>
  </si>
  <si>
    <t>Нормативные затраты на оказание муницп-й услуги, на 30.05.25г.,  по БРосп.</t>
  </si>
  <si>
    <t>Корректировка бюджета от 10.09.2025г</t>
  </si>
  <si>
    <t>решение ДГС № 62-363-НПА от 10.09.25г.</t>
  </si>
  <si>
    <t>Базовый норматив затрат на единицу объема, на 12.09.25г.,  по БРосп.</t>
  </si>
  <si>
    <t>Нормативные затраты на оказание муницп-й услуги, на 12.09.25г.,  по БРосп.</t>
  </si>
  <si>
    <t>дети инвалиды-5 по МЗ</t>
  </si>
  <si>
    <t>дети инвалиды-1 по МЗ</t>
  </si>
  <si>
    <t xml:space="preserve">с 5 инвалидами и 2 опека 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</si>
  <si>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</t>
    </r>
  </si>
  <si>
    <t>с 0 инвалида и 1 опека</t>
  </si>
  <si>
    <t>дети инвалиды-1, по МЗ</t>
  </si>
  <si>
    <t>инвалид-1, по МЗ</t>
  </si>
  <si>
    <t>K2 Группы компенсирующей направленности (за исключением малокомплектных образовательных организаций) (1группы)</t>
  </si>
  <si>
    <t>5\78</t>
  </si>
  <si>
    <t>1\20</t>
  </si>
  <si>
    <t>4\58</t>
  </si>
  <si>
    <t>2\47</t>
  </si>
  <si>
    <t>4\50</t>
  </si>
  <si>
    <t>6\98</t>
  </si>
  <si>
    <t>2\9</t>
  </si>
  <si>
    <t>2\10</t>
  </si>
  <si>
    <t xml:space="preserve"> c 01.09.2025 год</t>
  </si>
  <si>
    <t>от 3 до 8 лет (b8) t8/аутизм</t>
  </si>
  <si>
    <t>разновозр, с налич. детей от 3 лет до 8лет (b8) t7/ДЦП</t>
  </si>
  <si>
    <t>от 3 до 8 лет (b8) t11/аутизм</t>
  </si>
  <si>
    <t>Сред.Численность на м/б+ПФ, на 2025г</t>
  </si>
  <si>
    <t>Базовый норматив затрат на единицу объема, на 09.09.25г.</t>
  </si>
  <si>
    <t>Базовый норматив затрат на единицу объема, на 09.09.26г.</t>
  </si>
  <si>
    <t>Базовый норматив затрат на единицу объема, на 09.09.27г.</t>
  </si>
  <si>
    <t>Сред.Численность на м/б+пф, на 2026г</t>
  </si>
  <si>
    <t>Сред.Численность на м/б+ПФ, на 2027г</t>
  </si>
  <si>
    <t>Сред.Значение объема муниципальной услуги (работы)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</si>
  <si>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общеразвивающих программ</t>
    </r>
  </si>
  <si>
    <t>Реализация дополнительных общеразвивающих программ  (0703)</t>
  </si>
  <si>
    <t>Корректировка бюджета от 26.11.2025г</t>
  </si>
  <si>
    <t>решение ГС № 3-6-НПА от 26.11.25г.</t>
  </si>
  <si>
    <t>Базовый норматив затрат на единицу объема, на 01.12.25г.,  по БРосп.</t>
  </si>
  <si>
    <t>Нормативные затраты на оказание муницп-й услуги, на 01.12.25г.,  по БРосп.</t>
  </si>
  <si>
    <t>ПФ  МЗ + СЗ - увелич.з/п на</t>
  </si>
  <si>
    <t>сумма без Работы 1</t>
  </si>
  <si>
    <t>дети инв-ды-0 по МЗ, опека-1</t>
  </si>
  <si>
    <t>Корректировка бюджета от 17.12.2025г</t>
  </si>
  <si>
    <t>решение ГС №  -  -НПА от 17.12.25г.</t>
  </si>
  <si>
    <t>Базовый норматив затрат на единицу объема, на 18.12.25г.,  по БРосп.</t>
  </si>
  <si>
    <t>Нормативные затраты на оказание муницп-й услуги, на 18.12.25г.,  по БРосп.</t>
  </si>
  <si>
    <t>добавить</t>
  </si>
  <si>
    <t>2026 год по МЗ</t>
  </si>
  <si>
    <t>2028 год</t>
  </si>
  <si>
    <t>Всего на 2026 год:</t>
  </si>
  <si>
    <t>2028 год, всего</t>
  </si>
  <si>
    <t>2028г</t>
  </si>
  <si>
    <t>2027-2028гг</t>
  </si>
  <si>
    <t>2027- 2028гг</t>
  </si>
  <si>
    <t>Нормативные затраты на оказание муниципальных услуг (работ) на 2026-2028 гг.</t>
  </si>
  <si>
    <t>Расчет финансового обеспечения муниципальных учреждений на выполнение муниципального задания  на 2026-2028 год</t>
  </si>
  <si>
    <t>Нормативные затраты на оказание муниципальной услуги (работы) на 2026г</t>
  </si>
  <si>
    <t xml:space="preserve">Объем финансового обеспечения на выполнение муниципального задания на 2028 год </t>
  </si>
  <si>
    <t>Расчет финансового обеспечения муниципальных учреждений на выполнение муниципального задания  на 2026-2028 годы</t>
  </si>
  <si>
    <t xml:space="preserve">Коэффициенты выравнивания на 2026 год  </t>
  </si>
  <si>
    <t>Объем финансового обеспечения на выполнение муниципального задания на 2028 год</t>
  </si>
  <si>
    <t xml:space="preserve"> 2026 год</t>
  </si>
  <si>
    <t>Базовый норматив затрат на единицу объема, 2028г</t>
  </si>
  <si>
    <t>Расчет финансового обеспечения муниципальных учреждений на выполнение муниципального задания на 2026-2028 годы</t>
  </si>
  <si>
    <t>дети инвалиды-0, по МЗ</t>
  </si>
  <si>
    <t>численность из НАВИГАТОРА, предоставляет Панфилова А.А.</t>
  </si>
  <si>
    <t>дети инвалиды-2, по МЗ</t>
  </si>
  <si>
    <t>присмотр и уход за счет м/б</t>
  </si>
  <si>
    <t>реализ.основн.общеобраз.программ</t>
  </si>
  <si>
    <t>субсидия</t>
  </si>
  <si>
    <t>Реализация дополнительных общеобразовательных общеразвивающих программ,   U/H</t>
  </si>
  <si>
    <t>должно быть как в приказе по ПФ-шаг 1</t>
  </si>
  <si>
    <t>разница</t>
  </si>
  <si>
    <t xml:space="preserve">Разница </t>
  </si>
  <si>
    <t>до 3 лет (b8) t8/псих.</t>
  </si>
  <si>
    <t>разновозр, с налич. детей до 3 лет (b3) t8/псих.</t>
  </si>
  <si>
    <t>K10 Группы компенсирующей направленности (за исключением малокомплектных образовательных организаций) (1группа)</t>
  </si>
  <si>
    <t>от 3 до 8 лет К2 (b8) t1/речь</t>
  </si>
  <si>
    <t>1013620,33- на 1 класс+27940,38 на 1 человека</t>
  </si>
  <si>
    <t>955631,11- на 1 класс+27940,38 на 1 человека</t>
  </si>
  <si>
    <t>955631,11- на 1 класс+ 2198,86на 1 человека</t>
  </si>
  <si>
    <t>1507123,31- на 1 класс+ 28238,40 на 1 человека</t>
  </si>
  <si>
    <t>1507123,31- на 1 класс+ 2750,57 на 1 человека</t>
  </si>
  <si>
    <t>1273397,23- на 1 класс+ 28238,40 на 1 человека</t>
  </si>
  <si>
    <t>1273397,23- на 1 класс+2750,57 на 1 человека</t>
  </si>
  <si>
    <t>1428519,97 на 1 класс+ 28587,53 на 1 человека</t>
  </si>
  <si>
    <t>1428517,97на 1 класс+2726,40 на 1 человека</t>
  </si>
  <si>
    <t>332314,42- на 1 класс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</si>
  <si>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(4группы)</t>
  </si>
  <si>
    <t>K2 Группы компенсирующей направленности (за исключением малокомплектных образовательных организаций) (3группы)</t>
  </si>
  <si>
    <t>K3 Группы комбинированной направленности (за исключением малокомплектных образовательных организаций)(2групп)</t>
  </si>
  <si>
    <t>K1 Группы общеразвивающей направленности (за исключением малокомплектных образовательных организаций) (2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</si>
  <si>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(5групп)</t>
  </si>
  <si>
    <t>К3 Группы комбинированной направленности (за исключением малокомплектных образовательных организаций) (5групп)</t>
  </si>
  <si>
    <t>4\59</t>
  </si>
  <si>
    <t>4\45</t>
  </si>
  <si>
    <t>4\37</t>
  </si>
  <si>
    <t>5\79</t>
  </si>
  <si>
    <t>5\66</t>
  </si>
  <si>
    <t>5\58</t>
  </si>
  <si>
    <t>6\99</t>
  </si>
  <si>
    <t>6\106</t>
  </si>
  <si>
    <t>6\100</t>
  </si>
  <si>
    <t>2\48</t>
  </si>
  <si>
    <t>2\55</t>
  </si>
  <si>
    <t>2\49</t>
  </si>
  <si>
    <t>2\17</t>
  </si>
  <si>
    <t>от 3 до 8 лет (b8) t11/аутиз.</t>
  </si>
  <si>
    <t>с  2 инвалидами</t>
  </si>
  <si>
    <t>с 1 инвалидом и 0 сирота (по МЗ на 26-28гг)</t>
  </si>
  <si>
    <t>Базовый норматив затрат на единицу объема, на 12.01.26г.</t>
  </si>
  <si>
    <t>Нормативные затраты на оказание муницп-й услуги, на 12.01.26г.</t>
  </si>
  <si>
    <t>Базовый норматив затрат на единицу объема, на 25.02.26г.</t>
  </si>
  <si>
    <t>Нормативные затраты на оказание муницп-й услуги, на 25.02.26г. Гор.Совет</t>
  </si>
  <si>
    <t>от 3 до 8 лет (b3) t8/ДЦП.</t>
  </si>
  <si>
    <t>к Приказу от  02.06.2026г. № 145</t>
  </si>
  <si>
    <t>от 02.06.2026г  № 145</t>
  </si>
  <si>
    <t>к Приказу от  02.06.2026 г. № 145</t>
  </si>
  <si>
    <t>от   02.06.2026г  № 145</t>
  </si>
  <si>
    <t>Техническое направление (804200О.99.0.ББ52АЕ04000)</t>
  </si>
  <si>
    <t>Художественное направление (804200О.99.0.ББ52АЕ76000)</t>
  </si>
  <si>
    <t>январь-май 2026г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</si>
  <si>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                                (с софинансированием м/б)</t>
    </r>
  </si>
  <si>
    <t xml:space="preserve">январь-май 2026г                        </t>
  </si>
  <si>
    <t>сентябрь-декабрь 2026г (январь-май 2027г)</t>
  </si>
  <si>
    <t>Приложение № 4 к приказу от  02.06.2026г   № 145</t>
  </si>
  <si>
    <t>Реализация дополнительных общеразвивающих программ (естественно-научное направление) 804200О.99.0.ББ52АЕ28000</t>
  </si>
  <si>
    <t>Реализация дополнительных общеразвивающих программ (туристическо-краеведческое направление) 804200О.99.0.ББ52АЗ68000</t>
  </si>
  <si>
    <t>Реализация дополнительных общеразвивающих программ (физкультурно-спортивная) 804200О.99.0.ББ52АЗ20000</t>
  </si>
  <si>
    <t>Реализация дополнительных общеразвивающих программ (социально-гуманитарное направление) 854100О.99.0.ББ52БЭ28000</t>
  </si>
  <si>
    <t>Естественнонаучное направление (804200О.99.0.ББ52АЕ28000)</t>
  </si>
  <si>
    <t>Социально-гумманитарное направление (854100О.99.0.ББ52БЭ28000)</t>
  </si>
  <si>
    <t>Физкультурно-спортивное направление (804200О.99.0.ББ52АЗ20000)</t>
  </si>
  <si>
    <t>Физкультурно-спортивная направленность  (804200О.99.0.ББ52АЗ20000)</t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</si>
  <si>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начального</t>
    </r>
    <r>
      <rPr>
        <sz val="11"/>
        <rFont val="Times New Roman"/>
        <family val="1"/>
        <charset val="204"/>
      </rPr>
      <t xml:space="preserve"> общего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</si>
  <si>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 xml:space="preserve">основного </t>
    </r>
    <r>
      <rPr>
        <sz val="11"/>
        <rFont val="Times New Roman"/>
        <family val="1"/>
        <charset val="204"/>
      </rPr>
      <t>общего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</si>
  <si>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среднего</t>
    </r>
    <r>
      <rPr>
        <sz val="11"/>
        <rFont val="Times New Roman"/>
        <family val="1"/>
        <charset val="204"/>
      </rPr>
      <t xml:space="preserve"> общего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</si>
  <si>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начального общего</t>
    </r>
    <r>
      <rPr>
        <sz val="11"/>
        <rFont val="Times New Roman"/>
        <family val="1"/>
        <charset val="204"/>
      </rPr>
      <t xml:space="preserve">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</si>
  <si>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 общего</t>
    </r>
    <r>
      <rPr>
        <sz val="11"/>
        <rFont val="Times New Roman"/>
        <family val="1"/>
        <charset val="204"/>
      </rPr>
      <t xml:space="preserve">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</si>
  <si>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среднего общего</t>
    </r>
    <r>
      <rPr>
        <sz val="11"/>
        <rFont val="Times New Roman"/>
        <family val="1"/>
        <charset val="204"/>
      </rPr>
      <t xml:space="preserve">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</si>
  <si>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</t>
    </r>
    <r>
      <rPr>
        <sz val="11"/>
        <rFont val="Times New Roman"/>
        <family val="1"/>
        <charset val="204"/>
      </rPr>
      <t xml:space="preserve"> общего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</si>
  <si>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>основного общего образования</t>
    </r>
    <r>
      <rPr>
        <sz val="11"/>
        <rFont val="Times New Roman"/>
        <family val="1"/>
        <charset val="204"/>
      </rPr>
      <t xml:space="preserve"> 802111О.99.0.БАЮ58001; 802111О.99.0.БА96АА00001; 802111О.99.0.БА96АЮ83001</t>
    </r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</si>
  <si>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rFont val="Times New Roman"/>
        <family val="1"/>
        <charset val="204"/>
      </rPr>
      <t xml:space="preserve">специализированный класс </t>
    </r>
    <r>
      <rPr>
        <sz val="11"/>
        <rFont val="Times New Roman"/>
        <family val="1"/>
        <charset val="204"/>
      </rPr>
      <t>(k = 1)</t>
    </r>
  </si>
  <si>
    <r>
      <t xml:space="preserve">Реализация основных общеобразовательных программ </t>
    </r>
    <r>
      <rPr>
        <b/>
        <sz val="11"/>
        <rFont val="Times New Roman"/>
        <family val="1"/>
        <charset val="204"/>
      </rPr>
      <t xml:space="preserve">среднего </t>
    </r>
    <r>
      <rPr>
        <sz val="11"/>
        <rFont val="Times New Roman"/>
        <family val="1"/>
        <charset val="204"/>
      </rPr>
      <t>общего образования 802112О.99.0.ББ11АЮ58001; 802112О.99.0.ББ11АА00001; 802112О.99.0.ББ11АЮ83001</t>
    </r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</si>
  <si>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rFont val="Times New Roman"/>
        <family val="1"/>
        <charset val="204"/>
      </rPr>
      <t xml:space="preserve">математический класс </t>
    </r>
    <r>
      <rPr>
        <sz val="11"/>
        <rFont val="Times New Roman"/>
        <family val="1"/>
        <charset val="204"/>
      </rPr>
      <t>(k = 1)</t>
    </r>
  </si>
  <si>
    <t>1013620,33- на 1 класс+ 2198,86- на 1 человека</t>
  </si>
  <si>
    <t>56222,49 на 1 человека</t>
  </si>
  <si>
    <t>56222,49- на 1 человека</t>
  </si>
  <si>
    <r>
      <rPr>
        <b/>
        <sz val="11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</si>
  <si>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r>
      <t xml:space="preserve">дети из </t>
    </r>
    <r>
      <rPr>
        <b/>
        <sz val="10"/>
        <rFont val="Times New Roman"/>
        <family val="1"/>
        <charset val="204"/>
      </rPr>
      <t>мед.учреждения</t>
    </r>
    <r>
      <rPr>
        <sz val="10"/>
        <rFont val="Times New Roman"/>
        <family val="1"/>
        <charset val="204"/>
      </rPr>
      <t xml:space="preserve"> в общую численность НЕ ВХОДЯТ</t>
    </r>
  </si>
  <si>
    <r>
      <t xml:space="preserve">итого по услуге </t>
    </r>
    <r>
      <rPr>
        <sz val="11"/>
        <rFont val="Times New Roman"/>
        <family val="1"/>
        <charset val="204"/>
      </rPr>
      <t>(без детей из мед.учрежд-я)</t>
    </r>
    <r>
      <rPr>
        <b/>
        <sz val="11"/>
        <rFont val="Times New Roman"/>
        <family val="1"/>
        <charset val="204"/>
      </rPr>
      <t>:</t>
    </r>
  </si>
  <si>
    <t xml:space="preserve">2026 год числен-ть по стат.отч. №85-К </t>
  </si>
  <si>
    <t>в т.ч. Краевой бюджет пед.персонал (краевой норматив на доп-е общераз-е программы)</t>
  </si>
  <si>
    <t>в т.ч. Краевой бюджет пед.персонал, руб. (краевой бюджет на доп-е общераз-е программы)</t>
  </si>
  <si>
    <t>с  1 инвалидом, 0 опека</t>
  </si>
  <si>
    <t>с 8 инвалидами и 3 сирот (по МЗ на 26-28гг)</t>
  </si>
  <si>
    <t>с 1 инвалидом и 0 опека</t>
  </si>
  <si>
    <t>Нормативные затраты на оказание муницп-й услуги, на 24.10.25г.</t>
  </si>
  <si>
    <t>Нормативные затраты на оказание муницп-й услуги, на 24.10.26г.</t>
  </si>
  <si>
    <t>Нормативные затраты на оказание муницп-й услуги, на 24.10.27г.</t>
  </si>
  <si>
    <t>Базовый норматив затрат на единицу объема, на 26.01.22г.</t>
  </si>
  <si>
    <r>
      <t xml:space="preserve">Реализация основных общеобразовательных программ </t>
    </r>
    <r>
      <rPr>
        <b/>
        <sz val="10"/>
        <rFont val="Times New Roman"/>
        <family val="1"/>
        <charset val="204"/>
      </rPr>
      <t>начального</t>
    </r>
    <r>
      <rPr>
        <sz val="10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</si>
  <si>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rFont val="Times New Roman"/>
        <family val="1"/>
        <charset val="204"/>
      </rPr>
      <t>основного</t>
    </r>
    <r>
      <rPr>
        <sz val="10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</si>
  <si>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rFont val="Times New Roman"/>
        <family val="1"/>
        <charset val="204"/>
      </rPr>
      <t>среднего</t>
    </r>
    <r>
      <rPr>
        <sz val="10"/>
        <rFont val="Times New Roman"/>
        <family val="1"/>
        <charset val="204"/>
      </rPr>
      <t xml:space="preserve"> общего образования</t>
    </r>
  </si>
  <si>
    <t>Услуга сверх МЗ присмотр и уход (за счет родительской платы)</t>
  </si>
  <si>
    <r>
      <t xml:space="preserve">присмотр и уход за счет местного бюджета </t>
    </r>
    <r>
      <rPr>
        <i/>
        <sz val="6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</si>
</sst>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0.000000"/>
    <numFmt numFmtId="166" formatCode="#,##0.000000000"/>
    <numFmt numFmtId="167" formatCode="#,##0.0000"/>
    <numFmt numFmtId="168" formatCode="#,##0.00000"/>
    <numFmt numFmtId="169" formatCode="#,##0.000"/>
    <numFmt numFmtId="170" formatCode="#,##0.0000000"/>
    <numFmt numFmtId="171" formatCode="0.0000000000"/>
    <numFmt numFmtId="172" formatCode="0.000000000"/>
    <numFmt numFmtId="173" formatCode="0.0000"/>
    <numFmt numFmtId="174" formatCode="#,##0.0000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Times New Roman"/>
      <family val="1"/>
      <charset val="204"/>
    </font>
    <font>
      <i/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14" fillId="0" borderId="0"/>
    <xf numFmtId="0" fontId="26" fillId="4" borderId="0" applyNumberFormat="0" applyBorder="0" applyAlignment="0" applyProtection="0"/>
  </cellStyleXfs>
  <cellXfs count="46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6" xfId="0" applyFont="1" applyFill="1" applyBorder="1"/>
    <xf numFmtId="4" fontId="3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2" xfId="0" applyFont="1" applyFill="1" applyBorder="1"/>
    <xf numFmtId="4" fontId="2" fillId="0" borderId="7" xfId="0" applyNumberFormat="1" applyFont="1" applyFill="1" applyBorder="1"/>
    <xf numFmtId="3" fontId="7" fillId="0" borderId="2" xfId="0" applyNumberFormat="1" applyFont="1" applyFill="1" applyBorder="1"/>
    <xf numFmtId="4" fontId="2" fillId="0" borderId="2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wrapText="1"/>
    </xf>
    <xf numFmtId="2" fontId="9" fillId="0" borderId="0" xfId="0" applyNumberFormat="1" applyFont="1" applyAlignment="1">
      <alignment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center" vertical="center" wrapText="1" readingOrder="1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0" xfId="3" applyFont="1" applyFill="1"/>
    <xf numFmtId="0" fontId="2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top"/>
    </xf>
    <xf numFmtId="0" fontId="2" fillId="0" borderId="2" xfId="3" applyFont="1" applyFill="1" applyBorder="1" applyAlignment="1">
      <alignment horizontal="center" vertical="center" wrapText="1"/>
    </xf>
    <xf numFmtId="4" fontId="2" fillId="0" borderId="0" xfId="3" applyNumberFormat="1" applyFont="1" applyFill="1"/>
    <xf numFmtId="0" fontId="2" fillId="0" borderId="2" xfId="3" applyFont="1" applyFill="1" applyBorder="1" applyAlignment="1">
      <alignment horizontal="center" wrapText="1"/>
    </xf>
    <xf numFmtId="0" fontId="3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/>
    <xf numFmtId="3" fontId="2" fillId="0" borderId="2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/>
    </xf>
    <xf numFmtId="0" fontId="3" fillId="0" borderId="0" xfId="3" applyFont="1" applyFill="1"/>
    <xf numFmtId="4" fontId="3" fillId="0" borderId="0" xfId="3" applyNumberFormat="1" applyFont="1" applyFill="1"/>
    <xf numFmtId="0" fontId="2" fillId="0" borderId="0" xfId="3" applyFont="1" applyFill="1" applyBorder="1"/>
    <xf numFmtId="4" fontId="18" fillId="0" borderId="0" xfId="3" applyNumberFormat="1" applyFont="1" applyFill="1" applyBorder="1"/>
    <xf numFmtId="4" fontId="2" fillId="0" borderId="0" xfId="3" applyNumberFormat="1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vertical="center"/>
    </xf>
    <xf numFmtId="0" fontId="21" fillId="0" borderId="3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/>
    </xf>
    <xf numFmtId="0" fontId="23" fillId="0" borderId="2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top"/>
    </xf>
    <xf numFmtId="167" fontId="6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wrapText="1"/>
    </xf>
    <xf numFmtId="0" fontId="22" fillId="0" borderId="3" xfId="0" applyFont="1" applyFill="1" applyBorder="1" applyAlignment="1">
      <alignment vertical="center" wrapText="1"/>
    </xf>
    <xf numFmtId="167" fontId="22" fillId="0" borderId="2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right"/>
    </xf>
    <xf numFmtId="4" fontId="22" fillId="0" borderId="2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2" fontId="9" fillId="0" borderId="0" xfId="0" applyNumberFormat="1" applyFont="1" applyFill="1" applyAlignment="1">
      <alignment wrapText="1"/>
    </xf>
    <xf numFmtId="0" fontId="3" fillId="0" borderId="4" xfId="0" applyFont="1" applyFill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4" fontId="13" fillId="0" borderId="0" xfId="0" applyNumberFormat="1" applyFont="1" applyFill="1"/>
    <xf numFmtId="4" fontId="13" fillId="0" borderId="0" xfId="0" applyNumberFormat="1" applyFont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" fillId="0" borderId="0" xfId="3" applyFont="1" applyFill="1" applyBorder="1" applyAlignment="1">
      <alignment horizontal="center" vertical="top"/>
    </xf>
    <xf numFmtId="0" fontId="11" fillId="0" borderId="2" xfId="3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8" fontId="22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168" fontId="23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74" fontId="6" fillId="0" borderId="0" xfId="0" applyNumberFormat="1" applyFont="1" applyFill="1" applyBorder="1" applyAlignment="1">
      <alignment horizontal="center" vertical="center" wrapText="1"/>
    </xf>
    <xf numFmtId="174" fontId="22" fillId="0" borderId="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wrapText="1"/>
    </xf>
    <xf numFmtId="4" fontId="22" fillId="0" borderId="0" xfId="0" applyNumberFormat="1" applyFont="1" applyFill="1" applyBorder="1" applyAlignment="1">
      <alignment horizontal="center" wrapText="1"/>
    </xf>
    <xf numFmtId="169" fontId="22" fillId="0" borderId="0" xfId="0" applyNumberFormat="1" applyFont="1" applyFill="1" applyBorder="1"/>
    <xf numFmtId="0" fontId="22" fillId="0" borderId="0" xfId="0" applyFont="1" applyFill="1" applyBorder="1" applyAlignment="1">
      <alignment horizontal="center" wrapText="1"/>
    </xf>
    <xf numFmtId="4" fontId="22" fillId="0" borderId="0" xfId="0" applyNumberFormat="1" applyFont="1" applyFill="1" applyBorder="1"/>
    <xf numFmtId="174" fontId="6" fillId="0" borderId="0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2" xfId="0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left" vertical="center" wrapText="1"/>
    </xf>
    <xf numFmtId="170" fontId="22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166" fontId="2" fillId="0" borderId="0" xfId="3" applyNumberFormat="1" applyFont="1" applyFill="1" applyAlignment="1">
      <alignment horizontal="center"/>
    </xf>
    <xf numFmtId="167" fontId="22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69" fontId="21" fillId="0" borderId="2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/>
    <xf numFmtId="0" fontId="2" fillId="0" borderId="5" xfId="3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174" fontId="2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/>
    <xf numFmtId="0" fontId="2" fillId="0" borderId="5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top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9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 readingOrder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2" fillId="0" borderId="5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wrapText="1"/>
    </xf>
    <xf numFmtId="0" fontId="2" fillId="0" borderId="5" xfId="2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0" fontId="2" fillId="0" borderId="2" xfId="2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3" fillId="0" borderId="0" xfId="0" applyFont="1" applyFill="1" applyBorder="1" applyAlignment="1">
      <alignment wrapText="1"/>
    </xf>
    <xf numFmtId="16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/>
    <xf numFmtId="0" fontId="12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wrapText="1"/>
    </xf>
    <xf numFmtId="0" fontId="2" fillId="0" borderId="7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0" xfId="3" applyFont="1" applyFill="1" applyAlignment="1">
      <alignment horizontal="right"/>
    </xf>
    <xf numFmtId="4" fontId="2" fillId="0" borderId="0" xfId="3" applyNumberFormat="1" applyFont="1" applyFill="1" applyAlignment="1">
      <alignment horizontal="center"/>
    </xf>
    <xf numFmtId="3" fontId="2" fillId="0" borderId="2" xfId="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3" fontId="12" fillId="0" borderId="0" xfId="3" applyNumberFormat="1" applyFont="1" applyFill="1" applyBorder="1" applyAlignment="1">
      <alignment horizontal="right"/>
    </xf>
    <xf numFmtId="4" fontId="18" fillId="0" borderId="0" xfId="3" applyNumberFormat="1" applyFont="1" applyFill="1"/>
    <xf numFmtId="0" fontId="18" fillId="0" borderId="0" xfId="3" applyFont="1" applyFill="1"/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wrapText="1"/>
    </xf>
    <xf numFmtId="4" fontId="22" fillId="0" borderId="2" xfId="0" applyNumberFormat="1" applyFont="1" applyFill="1" applyBorder="1"/>
    <xf numFmtId="174" fontId="6" fillId="0" borderId="0" xfId="0" applyNumberFormat="1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center"/>
    </xf>
    <xf numFmtId="174" fontId="22" fillId="0" borderId="0" xfId="0" applyNumberFormat="1" applyFont="1" applyFill="1" applyBorder="1" applyAlignment="1">
      <alignment horizontal="center"/>
    </xf>
    <xf numFmtId="167" fontId="22" fillId="0" borderId="0" xfId="0" applyNumberFormat="1" applyFont="1" applyFill="1" applyBorder="1" applyAlignment="1">
      <alignment horizontal="center" wrapText="1"/>
    </xf>
    <xf numFmtId="168" fontId="6" fillId="0" borderId="0" xfId="0" applyNumberFormat="1" applyFont="1" applyFill="1" applyBorder="1"/>
    <xf numFmtId="170" fontId="22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wrapText="1"/>
    </xf>
    <xf numFmtId="0" fontId="28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171" fontId="28" fillId="0" borderId="2" xfId="0" applyNumberFormat="1" applyFont="1" applyFill="1" applyBorder="1" applyAlignment="1">
      <alignment vertical="center"/>
    </xf>
    <xf numFmtId="172" fontId="28" fillId="0" borderId="2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left" vertical="center" wrapText="1"/>
    </xf>
    <xf numFmtId="4" fontId="20" fillId="0" borderId="2" xfId="0" applyNumberFormat="1" applyFont="1" applyFill="1" applyBorder="1" applyAlignment="1">
      <alignment horizontal="left" vertical="center" wrapText="1"/>
    </xf>
    <xf numFmtId="168" fontId="21" fillId="0" borderId="0" xfId="0" applyNumberFormat="1" applyFont="1" applyFill="1" applyBorder="1" applyAlignment="1">
      <alignment horizontal="center" vertical="center" wrapText="1"/>
    </xf>
    <xf numFmtId="168" fontId="22" fillId="0" borderId="0" xfId="0" applyNumberFormat="1" applyFont="1" applyFill="1" applyBorder="1" applyAlignment="1">
      <alignment horizontal="left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vertical="center"/>
    </xf>
    <xf numFmtId="4" fontId="29" fillId="0" borderId="3" xfId="0" applyNumberFormat="1" applyFont="1" applyFill="1" applyBorder="1" applyAlignment="1">
      <alignment horizontal="center" vertical="center"/>
    </xf>
    <xf numFmtId="173" fontId="29" fillId="0" borderId="3" xfId="0" applyNumberFormat="1" applyFont="1" applyFill="1" applyBorder="1" applyAlignment="1">
      <alignment horizontal="center" vertical="center"/>
    </xf>
    <xf numFmtId="4" fontId="28" fillId="0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horizontal="center" vertical="center"/>
    </xf>
    <xf numFmtId="169" fontId="22" fillId="0" borderId="2" xfId="0" applyNumberFormat="1" applyFont="1" applyFill="1" applyBorder="1" applyAlignment="1">
      <alignment horizontal="center" vertical="center" wrapText="1"/>
    </xf>
    <xf numFmtId="168" fontId="22" fillId="0" borderId="2" xfId="0" applyNumberFormat="1" applyFont="1" applyFill="1" applyBorder="1" applyAlignment="1">
      <alignment horizontal="center" vertical="center" wrapText="1"/>
    </xf>
    <xf numFmtId="174" fontId="22" fillId="0" borderId="2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Fill="1" applyBorder="1" applyAlignment="1">
      <alignment horizontal="center" vertical="center" wrapText="1"/>
    </xf>
    <xf numFmtId="174" fontId="7" fillId="0" borderId="2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Fill="1" applyBorder="1" applyAlignment="1">
      <alignment horizontal="left" vertical="center" wrapText="1"/>
    </xf>
    <xf numFmtId="170" fontId="6" fillId="0" borderId="2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169" fontId="2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>
      <alignment vertical="center" wrapText="1"/>
    </xf>
    <xf numFmtId="3" fontId="22" fillId="0" borderId="2" xfId="0" applyNumberFormat="1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/>
    <xf numFmtId="49" fontId="2" fillId="0" borderId="7" xfId="0" applyNumberFormat="1" applyFont="1" applyFill="1" applyBorder="1" applyAlignment="1">
      <alignment horizontal="center" vertical="center" wrapText="1" readingOrder="1"/>
    </xf>
    <xf numFmtId="49" fontId="2" fillId="0" borderId="8" xfId="0" applyNumberFormat="1" applyFont="1" applyFill="1" applyBorder="1" applyAlignment="1">
      <alignment horizontal="center" vertical="center" wrapText="1" readingOrder="1"/>
    </xf>
    <xf numFmtId="49" fontId="2" fillId="0" borderId="8" xfId="0" applyNumberFormat="1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 wrapText="1" readingOrder="1"/>
    </xf>
    <xf numFmtId="0" fontId="11" fillId="0" borderId="5" xfId="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7" xfId="2" applyFont="1" applyFill="1" applyBorder="1" applyAlignment="1">
      <alignment horizontal="center" vertical="center" wrapText="1" readingOrder="1"/>
    </xf>
    <xf numFmtId="0" fontId="2" fillId="0" borderId="8" xfId="2" applyFont="1" applyFill="1" applyBorder="1" applyAlignment="1">
      <alignment horizontal="center" vertical="center" wrapText="1" readingOrder="1"/>
    </xf>
    <xf numFmtId="0" fontId="2" fillId="0" borderId="6" xfId="2" applyFont="1" applyFill="1" applyBorder="1" applyAlignment="1">
      <alignment horizontal="center" vertical="center" wrapText="1" readingOrder="1"/>
    </xf>
    <xf numFmtId="2" fontId="7" fillId="0" borderId="0" xfId="0" applyNumberFormat="1" applyFont="1" applyFill="1" applyAlignment="1">
      <alignment horizontal="center" wrapText="1"/>
    </xf>
    <xf numFmtId="2" fontId="7" fillId="0" borderId="0" xfId="0" applyNumberFormat="1" applyFont="1" applyFill="1" applyAlignment="1">
      <alignment horizontal="center" wrapText="1"/>
    </xf>
    <xf numFmtId="2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2" fillId="0" borderId="0" xfId="0" applyFont="1" applyFill="1" applyAlignment="1">
      <alignment wrapText="1"/>
    </xf>
    <xf numFmtId="2" fontId="30" fillId="0" borderId="0" xfId="0" applyNumberFormat="1" applyFont="1" applyFill="1" applyAlignment="1">
      <alignment horizontal="center" wrapText="1"/>
    </xf>
    <xf numFmtId="2" fontId="30" fillId="0" borderId="0" xfId="0" applyNumberFormat="1" applyFont="1" applyFill="1" applyAlignment="1">
      <alignment horizontal="center" wrapText="1"/>
    </xf>
    <xf numFmtId="2" fontId="30" fillId="0" borderId="0" xfId="0" applyNumberFormat="1" applyFont="1" applyFill="1" applyAlignment="1">
      <alignment wrapText="1"/>
    </xf>
    <xf numFmtId="4" fontId="2" fillId="0" borderId="0" xfId="0" applyNumberFormat="1" applyFont="1" applyFill="1"/>
    <xf numFmtId="0" fontId="16" fillId="0" borderId="0" xfId="0" applyFont="1" applyFill="1"/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horizontal="center" vertical="center" wrapText="1" readingOrder="1"/>
    </xf>
    <xf numFmtId="0" fontId="11" fillId="0" borderId="11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11" fillId="0" borderId="5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Fill="1"/>
    <xf numFmtId="0" fontId="2" fillId="0" borderId="2" xfId="0" applyFont="1" applyFill="1" applyBorder="1" applyAlignment="1">
      <alignment horizontal="left" vertical="center" wrapText="1" readingOrder="1"/>
    </xf>
    <xf numFmtId="4" fontId="2" fillId="0" borderId="2" xfId="1" applyNumberFormat="1" applyFont="1" applyFill="1" applyBorder="1" applyAlignment="1">
      <alignment horizontal="center" vertical="center" wrapText="1" readingOrder="1"/>
    </xf>
    <xf numFmtId="4" fontId="2" fillId="0" borderId="0" xfId="0" applyNumberFormat="1" applyFont="1" applyFill="1" applyBorder="1" applyAlignment="1">
      <alignment horizontal="left" vertical="center" wrapText="1" readingOrder="1"/>
    </xf>
    <xf numFmtId="4" fontId="7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 readingOrder="1"/>
    </xf>
    <xf numFmtId="0" fontId="6" fillId="0" borderId="0" xfId="0" applyFont="1" applyFill="1" applyAlignment="1">
      <alignment vertical="center"/>
    </xf>
    <xf numFmtId="2" fontId="2" fillId="0" borderId="0" xfId="0" applyNumberFormat="1" applyFont="1" applyFill="1"/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/>
    <xf numFmtId="0" fontId="2" fillId="0" borderId="9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4" fontId="2" fillId="0" borderId="2" xfId="4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4" fontId="6" fillId="0" borderId="2" xfId="4" applyNumberFormat="1" applyFont="1" applyFill="1" applyBorder="1" applyAlignment="1">
      <alignment horizontal="center" vertical="center"/>
    </xf>
    <xf numFmtId="4" fontId="3" fillId="0" borderId="2" xfId="4" applyNumberFormat="1" applyFont="1" applyFill="1" applyBorder="1" applyAlignment="1">
      <alignment horizontal="center" vertical="center"/>
    </xf>
    <xf numFmtId="4" fontId="22" fillId="0" borderId="2" xfId="4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2" fontId="30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/>
    <xf numFmtId="0" fontId="11" fillId="0" borderId="2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Alignment="1">
      <alignment horizontal="center"/>
    </xf>
    <xf numFmtId="4" fontId="22" fillId="0" borderId="0" xfId="0" applyNumberFormat="1" applyFont="1" applyFill="1" applyAlignment="1">
      <alignment horizontal="center"/>
    </xf>
  </cellXfs>
  <cellStyles count="5">
    <cellStyle name="Нейтральный" xfId="4" builtinId="28"/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395"/>
  <sheetViews>
    <sheetView topLeftCell="A232" zoomScale="70" zoomScaleNormal="70" workbookViewId="0">
      <selection activeCell="O240" sqref="O240"/>
    </sheetView>
  </sheetViews>
  <sheetFormatPr defaultColWidth="9.140625" defaultRowHeight="15" x14ac:dyDescent="0.25"/>
  <cols>
    <col min="1" max="1" width="19.42578125" style="1" customWidth="1"/>
    <col min="2" max="2" width="28.7109375" style="1" customWidth="1"/>
    <col min="3" max="3" width="27.7109375" style="1" customWidth="1"/>
    <col min="4" max="4" width="8.7109375" style="1" customWidth="1"/>
    <col min="5" max="5" width="14.7109375" style="1" hidden="1" customWidth="1"/>
    <col min="6" max="6" width="13.28515625" style="1" hidden="1" customWidth="1"/>
    <col min="7" max="7" width="11.7109375" style="1" customWidth="1"/>
    <col min="8" max="8" width="12.85546875" style="1" bestFit="1" customWidth="1"/>
    <col min="9" max="9" width="12.140625" style="1" bestFit="1" customWidth="1"/>
    <col min="10" max="10" width="18.28515625" style="1" customWidth="1"/>
    <col min="11" max="11" width="16" style="1" customWidth="1"/>
    <col min="12" max="12" width="13.85546875" style="1" customWidth="1"/>
    <col min="13" max="13" width="13.5703125" style="1" customWidth="1"/>
    <col min="14" max="14" width="18.85546875" style="1" customWidth="1"/>
    <col min="15" max="15" width="20.85546875" style="1" customWidth="1"/>
    <col min="16" max="16" width="18.28515625" style="1" customWidth="1"/>
    <col min="17" max="17" width="21.85546875" style="1" hidden="1" customWidth="1"/>
    <col min="18" max="18" width="18.140625" style="1" customWidth="1"/>
    <col min="19" max="19" width="18.5703125" style="1" hidden="1" customWidth="1"/>
    <col min="20" max="20" width="17.7109375" style="1" customWidth="1"/>
    <col min="21" max="21" width="19.42578125" style="1" customWidth="1"/>
    <col min="22" max="22" width="14.7109375" style="1" customWidth="1"/>
    <col min="23" max="23" width="18.42578125" style="1" hidden="1" customWidth="1"/>
    <col min="24" max="24" width="16.140625" style="1" hidden="1" customWidth="1"/>
    <col min="25" max="25" width="12.7109375" style="1" hidden="1" customWidth="1"/>
    <col min="26" max="26" width="14.7109375" style="1" hidden="1" customWidth="1"/>
    <col min="27" max="27" width="6.28515625" style="1" hidden="1" customWidth="1"/>
    <col min="28" max="28" width="13.7109375" style="1" hidden="1" customWidth="1"/>
    <col min="29" max="30" width="14.28515625" style="1" hidden="1" customWidth="1"/>
    <col min="31" max="31" width="14.7109375" style="1" hidden="1" customWidth="1"/>
    <col min="32" max="16384" width="9.140625" style="1"/>
  </cols>
  <sheetData>
    <row r="1" spans="1:31" ht="13.9" x14ac:dyDescent="0.25">
      <c r="T1" s="2"/>
    </row>
    <row r="2" spans="1:31" x14ac:dyDescent="0.25">
      <c r="R2" s="2" t="s">
        <v>0</v>
      </c>
      <c r="S2" s="2"/>
    </row>
    <row r="3" spans="1:31" x14ac:dyDescent="0.25">
      <c r="R3" s="2" t="s">
        <v>601</v>
      </c>
      <c r="S3" s="2"/>
    </row>
    <row r="4" spans="1:31" x14ac:dyDescent="0.25">
      <c r="A4" s="231" t="s">
        <v>540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</row>
    <row r="5" spans="1:31" x14ac:dyDescent="0.25">
      <c r="A5" s="232" t="s">
        <v>1</v>
      </c>
      <c r="B5" s="232"/>
      <c r="C5" s="232"/>
      <c r="D5" s="3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31" ht="27.6" customHeight="1" x14ac:dyDescent="0.25">
      <c r="A6" s="278" t="s">
        <v>2</v>
      </c>
      <c r="B6" s="278" t="s">
        <v>3</v>
      </c>
      <c r="C6" s="279" t="s">
        <v>4</v>
      </c>
      <c r="D6" s="278" t="s">
        <v>5</v>
      </c>
      <c r="E6" s="280" t="s">
        <v>6</v>
      </c>
      <c r="F6" s="280"/>
      <c r="G6" s="280"/>
      <c r="H6" s="280"/>
      <c r="I6" s="280"/>
      <c r="J6" s="281" t="s">
        <v>7</v>
      </c>
      <c r="K6" s="281"/>
      <c r="L6" s="281"/>
      <c r="M6" s="281"/>
      <c r="N6" s="281" t="s">
        <v>8</v>
      </c>
      <c r="O6" s="281"/>
      <c r="P6" s="281"/>
      <c r="Q6" s="281"/>
      <c r="R6" s="281"/>
      <c r="S6" s="281"/>
      <c r="T6" s="281"/>
      <c r="U6" s="281"/>
    </row>
    <row r="7" spans="1:31" ht="120" x14ac:dyDescent="0.25">
      <c r="A7" s="278"/>
      <c r="B7" s="278"/>
      <c r="C7" s="279"/>
      <c r="D7" s="278"/>
      <c r="E7" s="160" t="s">
        <v>453</v>
      </c>
      <c r="F7" s="160" t="s">
        <v>454</v>
      </c>
      <c r="G7" s="160" t="s">
        <v>533</v>
      </c>
      <c r="H7" s="160" t="s">
        <v>419</v>
      </c>
      <c r="I7" s="160" t="s">
        <v>534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535</v>
      </c>
      <c r="O7" s="6" t="s">
        <v>13</v>
      </c>
      <c r="P7" s="6" t="s">
        <v>14</v>
      </c>
      <c r="Q7" s="6" t="s">
        <v>15</v>
      </c>
      <c r="R7" s="6" t="s">
        <v>16</v>
      </c>
      <c r="S7" s="6" t="s">
        <v>17</v>
      </c>
      <c r="T7" s="6" t="s">
        <v>421</v>
      </c>
      <c r="U7" s="6" t="s">
        <v>536</v>
      </c>
    </row>
    <row r="8" spans="1:31" ht="41.45" customHeight="1" x14ac:dyDescent="0.25">
      <c r="A8" s="282" t="s">
        <v>18</v>
      </c>
      <c r="B8" s="282" t="s">
        <v>18</v>
      </c>
      <c r="C8" s="282"/>
      <c r="D8" s="282" t="s">
        <v>19</v>
      </c>
      <c r="E8" s="283" t="s">
        <v>20</v>
      </c>
      <c r="F8" s="283" t="s">
        <v>20</v>
      </c>
      <c r="G8" s="283"/>
      <c r="H8" s="283" t="s">
        <v>20</v>
      </c>
      <c r="I8" s="283" t="s">
        <v>20</v>
      </c>
      <c r="J8" s="6" t="s">
        <v>21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6" t="s">
        <v>21</v>
      </c>
      <c r="Q8" s="6"/>
      <c r="R8" s="6" t="s">
        <v>21</v>
      </c>
      <c r="S8" s="6"/>
      <c r="T8" s="6" t="s">
        <v>21</v>
      </c>
      <c r="U8" s="6" t="s">
        <v>21</v>
      </c>
      <c r="W8" s="157" t="s">
        <v>422</v>
      </c>
      <c r="AB8" s="1" t="s">
        <v>537</v>
      </c>
    </row>
    <row r="9" spans="1:31" ht="76.150000000000006" customHeight="1" x14ac:dyDescent="0.25">
      <c r="A9" s="233" t="s">
        <v>22</v>
      </c>
      <c r="B9" s="284" t="s">
        <v>620</v>
      </c>
      <c r="C9" s="285" t="s">
        <v>23</v>
      </c>
      <c r="D9" s="37" t="s">
        <v>24</v>
      </c>
      <c r="E9" s="160">
        <f>296+28</f>
        <v>324</v>
      </c>
      <c r="F9" s="160">
        <f>296-21</f>
        <v>275</v>
      </c>
      <c r="G9" s="160">
        <f>215+60</f>
        <v>275</v>
      </c>
      <c r="H9" s="160">
        <f>217+62</f>
        <v>279</v>
      </c>
      <c r="I9" s="160">
        <f>211+63</f>
        <v>274</v>
      </c>
      <c r="J9" s="6">
        <f>SUM(K9:M9)</f>
        <v>80573.570000000007</v>
      </c>
      <c r="K9" s="6">
        <f>36390.31+2198.86</f>
        <v>38589.17</v>
      </c>
      <c r="L9" s="6">
        <v>12790.33</v>
      </c>
      <c r="M9" s="6">
        <v>29194.07</v>
      </c>
      <c r="N9" s="6">
        <f>SUM(O9:R9)</f>
        <v>22157731.75</v>
      </c>
      <c r="O9" s="6">
        <f>G9*K9</f>
        <v>10612021.75</v>
      </c>
      <c r="P9" s="6">
        <f>G9*L9</f>
        <v>3517340.75</v>
      </c>
      <c r="Q9" s="6"/>
      <c r="R9" s="61">
        <f>G9*M9</f>
        <v>8028369.25</v>
      </c>
      <c r="S9" s="61"/>
      <c r="T9" s="61">
        <f>W9</f>
        <v>22480026.030000001</v>
      </c>
      <c r="U9" s="61">
        <f>AB9</f>
        <v>22077158.18</v>
      </c>
      <c r="W9" s="61">
        <f>SUM(X9:AA9)</f>
        <v>22480026.030000001</v>
      </c>
      <c r="X9" s="61">
        <f>H9*K9</f>
        <v>10766378.43</v>
      </c>
      <c r="Y9" s="6">
        <f>H9*L9</f>
        <v>3568502.07</v>
      </c>
      <c r="Z9" s="61">
        <f>H9*M9</f>
        <v>8145145.5300000003</v>
      </c>
      <c r="AB9" s="61">
        <f>SUM(AC9:AF9)</f>
        <v>22077158.18</v>
      </c>
      <c r="AC9" s="61">
        <f>I9*K9</f>
        <v>10573432.58</v>
      </c>
      <c r="AD9" s="6">
        <f>I9*L9</f>
        <v>3504550.42</v>
      </c>
      <c r="AE9" s="61">
        <f>I9*M9</f>
        <v>7999175.1799999997</v>
      </c>
    </row>
    <row r="10" spans="1:31" ht="90" x14ac:dyDescent="0.25">
      <c r="A10" s="234"/>
      <c r="B10" s="286"/>
      <c r="C10" s="287" t="s">
        <v>25</v>
      </c>
      <c r="D10" s="37" t="s">
        <v>24</v>
      </c>
      <c r="E10" s="160" t="s">
        <v>26</v>
      </c>
      <c r="F10" s="160" t="s">
        <v>26</v>
      </c>
      <c r="G10" s="160"/>
      <c r="H10" s="160" t="s">
        <v>26</v>
      </c>
      <c r="I10" s="160" t="s">
        <v>26</v>
      </c>
      <c r="J10" s="160" t="s">
        <v>26</v>
      </c>
      <c r="K10" s="160" t="s">
        <v>26</v>
      </c>
      <c r="L10" s="61" t="s">
        <v>26</v>
      </c>
      <c r="M10" s="61" t="s">
        <v>26</v>
      </c>
      <c r="N10" s="6"/>
      <c r="O10" s="6"/>
      <c r="P10" s="61" t="s">
        <v>26</v>
      </c>
      <c r="Q10" s="61"/>
      <c r="R10" s="61" t="s">
        <v>26</v>
      </c>
      <c r="S10" s="61"/>
      <c r="T10" s="61"/>
      <c r="U10" s="61"/>
    </row>
    <row r="11" spans="1:31" x14ac:dyDescent="0.25">
      <c r="A11" s="234"/>
      <c r="B11" s="286"/>
      <c r="C11" s="287" t="s">
        <v>27</v>
      </c>
      <c r="D11" s="37"/>
      <c r="E11" s="160">
        <v>1</v>
      </c>
      <c r="F11" s="160">
        <v>1</v>
      </c>
      <c r="G11" s="160">
        <v>1</v>
      </c>
      <c r="H11" s="160"/>
      <c r="I11" s="160"/>
      <c r="J11" s="6">
        <f>K11</f>
        <v>148440.13</v>
      </c>
      <c r="K11" s="61">
        <v>148440.13</v>
      </c>
      <c r="L11" s="61" t="s">
        <v>26</v>
      </c>
      <c r="M11" s="61" t="s">
        <v>26</v>
      </c>
      <c r="N11" s="6">
        <f>O11</f>
        <v>148440.13</v>
      </c>
      <c r="O11" s="6">
        <f>G11*K11</f>
        <v>148440.13</v>
      </c>
      <c r="P11" s="61" t="s">
        <v>26</v>
      </c>
      <c r="Q11" s="61"/>
      <c r="R11" s="61" t="s">
        <v>26</v>
      </c>
      <c r="S11" s="61"/>
      <c r="T11" s="61">
        <f>H11*K11</f>
        <v>0</v>
      </c>
      <c r="U11" s="61">
        <f>I11*K11</f>
        <v>0</v>
      </c>
    </row>
    <row r="12" spans="1:31" x14ac:dyDescent="0.25">
      <c r="A12" s="234"/>
      <c r="B12" s="286"/>
      <c r="C12" s="287" t="s">
        <v>28</v>
      </c>
      <c r="D12" s="37"/>
      <c r="E12" s="160">
        <f>24-9</f>
        <v>15</v>
      </c>
      <c r="F12" s="160">
        <f>24-9</f>
        <v>15</v>
      </c>
      <c r="G12" s="160">
        <f>15+5</f>
        <v>20</v>
      </c>
      <c r="H12" s="160">
        <v>24</v>
      </c>
      <c r="I12" s="160">
        <v>24</v>
      </c>
      <c r="J12" s="6">
        <f>K12</f>
        <v>164394.18</v>
      </c>
      <c r="K12" s="6">
        <v>164394.18</v>
      </c>
      <c r="L12" s="61" t="s">
        <v>26</v>
      </c>
      <c r="M12" s="61" t="s">
        <v>26</v>
      </c>
      <c r="N12" s="6">
        <f>O12</f>
        <v>3287883.5999999996</v>
      </c>
      <c r="O12" s="6">
        <f t="shared" ref="O12:O18" si="0">G12*K12</f>
        <v>3287883.5999999996</v>
      </c>
      <c r="P12" s="61" t="s">
        <v>26</v>
      </c>
      <c r="Q12" s="61"/>
      <c r="R12" s="61" t="s">
        <v>26</v>
      </c>
      <c r="S12" s="61"/>
      <c r="T12" s="61">
        <f>H12*K12</f>
        <v>3945460.32</v>
      </c>
      <c r="U12" s="61">
        <f>I12*K12</f>
        <v>3945460.32</v>
      </c>
    </row>
    <row r="13" spans="1:31" x14ac:dyDescent="0.25">
      <c r="A13" s="234"/>
      <c r="B13" s="286"/>
      <c r="C13" s="287" t="s">
        <v>29</v>
      </c>
      <c r="D13" s="37"/>
      <c r="E13" s="160">
        <v>4</v>
      </c>
      <c r="F13" s="160">
        <v>4</v>
      </c>
      <c r="G13" s="160">
        <v>4</v>
      </c>
      <c r="H13" s="160">
        <v>4</v>
      </c>
      <c r="I13" s="160">
        <v>4</v>
      </c>
      <c r="J13" s="6">
        <f t="shared" ref="J13:J18" si="1">K13</f>
        <v>196302.28</v>
      </c>
      <c r="K13" s="61">
        <v>196302.28</v>
      </c>
      <c r="L13" s="61" t="s">
        <v>26</v>
      </c>
      <c r="M13" s="61" t="s">
        <v>26</v>
      </c>
      <c r="N13" s="6">
        <f t="shared" ref="N13:N18" si="2">O13</f>
        <v>785209.12</v>
      </c>
      <c r="O13" s="6">
        <f t="shared" si="0"/>
        <v>785209.12</v>
      </c>
      <c r="P13" s="61" t="s">
        <v>26</v>
      </c>
      <c r="Q13" s="61"/>
      <c r="R13" s="61" t="s">
        <v>26</v>
      </c>
      <c r="S13" s="61"/>
      <c r="T13" s="61">
        <f t="shared" ref="T13:T18" si="3">H13*K13</f>
        <v>785209.12</v>
      </c>
      <c r="U13" s="61">
        <f t="shared" ref="U13:U18" si="4">I13*K13</f>
        <v>785209.12</v>
      </c>
    </row>
    <row r="14" spans="1:31" x14ac:dyDescent="0.25">
      <c r="A14" s="234"/>
      <c r="B14" s="286"/>
      <c r="C14" s="287" t="s">
        <v>30</v>
      </c>
      <c r="D14" s="37"/>
      <c r="E14" s="160">
        <f>31+3</f>
        <v>34</v>
      </c>
      <c r="F14" s="160">
        <f>31+3</f>
        <v>34</v>
      </c>
      <c r="G14" s="160">
        <v>34</v>
      </c>
      <c r="H14" s="160">
        <v>34</v>
      </c>
      <c r="I14" s="160">
        <f>37-2</f>
        <v>35</v>
      </c>
      <c r="J14" s="6">
        <f t="shared" si="1"/>
        <v>162574.21</v>
      </c>
      <c r="K14" s="61">
        <v>162574.21</v>
      </c>
      <c r="L14" s="61" t="s">
        <v>26</v>
      </c>
      <c r="M14" s="61" t="s">
        <v>26</v>
      </c>
      <c r="N14" s="6">
        <f t="shared" si="2"/>
        <v>5527523.1399999997</v>
      </c>
      <c r="O14" s="6">
        <f t="shared" si="0"/>
        <v>5527523.1399999997</v>
      </c>
      <c r="P14" s="61" t="s">
        <v>26</v>
      </c>
      <c r="Q14" s="61"/>
      <c r="R14" s="61" t="s">
        <v>26</v>
      </c>
      <c r="S14" s="61"/>
      <c r="T14" s="61">
        <f t="shared" si="3"/>
        <v>5527523.1399999997</v>
      </c>
      <c r="U14" s="61">
        <f t="shared" si="4"/>
        <v>5690097.3499999996</v>
      </c>
    </row>
    <row r="15" spans="1:31" x14ac:dyDescent="0.25">
      <c r="A15" s="234"/>
      <c r="B15" s="286"/>
      <c r="C15" s="287" t="s">
        <v>31</v>
      </c>
      <c r="D15" s="37"/>
      <c r="E15" s="160">
        <v>1</v>
      </c>
      <c r="F15" s="160">
        <f>2-1</f>
        <v>1</v>
      </c>
      <c r="G15" s="160">
        <v>1</v>
      </c>
      <c r="H15" s="160"/>
      <c r="I15" s="160"/>
      <c r="J15" s="6">
        <f t="shared" si="1"/>
        <v>180348.22</v>
      </c>
      <c r="K15" s="61">
        <v>180348.22</v>
      </c>
      <c r="L15" s="61" t="s">
        <v>26</v>
      </c>
      <c r="M15" s="61" t="s">
        <v>26</v>
      </c>
      <c r="N15" s="6">
        <f t="shared" si="2"/>
        <v>180348.22</v>
      </c>
      <c r="O15" s="6">
        <f t="shared" si="0"/>
        <v>180348.22</v>
      </c>
      <c r="P15" s="61" t="s">
        <v>26</v>
      </c>
      <c r="Q15" s="61"/>
      <c r="R15" s="61" t="s">
        <v>26</v>
      </c>
      <c r="S15" s="61"/>
      <c r="T15" s="61">
        <f t="shared" si="3"/>
        <v>0</v>
      </c>
      <c r="U15" s="61">
        <f t="shared" si="4"/>
        <v>0</v>
      </c>
    </row>
    <row r="16" spans="1:31" x14ac:dyDescent="0.25">
      <c r="A16" s="234"/>
      <c r="B16" s="286"/>
      <c r="C16" s="287" t="s">
        <v>32</v>
      </c>
      <c r="D16" s="37"/>
      <c r="E16" s="160"/>
      <c r="F16" s="160"/>
      <c r="G16" s="160">
        <v>0</v>
      </c>
      <c r="H16" s="160"/>
      <c r="I16" s="160"/>
      <c r="J16" s="6">
        <f t="shared" si="1"/>
        <v>204279.3</v>
      </c>
      <c r="K16" s="61">
        <v>204279.3</v>
      </c>
      <c r="L16" s="61"/>
      <c r="M16" s="61"/>
      <c r="N16" s="6">
        <f t="shared" si="2"/>
        <v>0</v>
      </c>
      <c r="O16" s="6">
        <f t="shared" si="0"/>
        <v>0</v>
      </c>
      <c r="P16" s="61" t="s">
        <v>26</v>
      </c>
      <c r="Q16" s="61"/>
      <c r="R16" s="61" t="s">
        <v>26</v>
      </c>
      <c r="S16" s="61"/>
      <c r="T16" s="61">
        <f t="shared" si="3"/>
        <v>0</v>
      </c>
      <c r="U16" s="61">
        <f t="shared" si="4"/>
        <v>0</v>
      </c>
    </row>
    <row r="17" spans="1:31" x14ac:dyDescent="0.25">
      <c r="A17" s="234"/>
      <c r="B17" s="286"/>
      <c r="C17" s="287" t="s">
        <v>33</v>
      </c>
      <c r="D17" s="37"/>
      <c r="E17" s="160"/>
      <c r="F17" s="160"/>
      <c r="G17" s="160">
        <v>0</v>
      </c>
      <c r="H17" s="160"/>
      <c r="I17" s="160"/>
      <c r="J17" s="6">
        <f t="shared" si="1"/>
        <v>202178.64</v>
      </c>
      <c r="K17" s="61">
        <v>202178.64</v>
      </c>
      <c r="L17" s="61" t="s">
        <v>26</v>
      </c>
      <c r="M17" s="61" t="s">
        <v>26</v>
      </c>
      <c r="N17" s="6">
        <f t="shared" si="2"/>
        <v>0</v>
      </c>
      <c r="O17" s="6">
        <f t="shared" si="0"/>
        <v>0</v>
      </c>
      <c r="P17" s="61" t="s">
        <v>26</v>
      </c>
      <c r="Q17" s="61"/>
      <c r="R17" s="61" t="s">
        <v>26</v>
      </c>
      <c r="S17" s="61"/>
      <c r="T17" s="61">
        <f t="shared" si="3"/>
        <v>0</v>
      </c>
      <c r="U17" s="61">
        <f t="shared" si="4"/>
        <v>0</v>
      </c>
    </row>
    <row r="18" spans="1:31" x14ac:dyDescent="0.25">
      <c r="A18" s="234"/>
      <c r="B18" s="286"/>
      <c r="C18" s="287" t="s">
        <v>34</v>
      </c>
      <c r="D18" s="37"/>
      <c r="E18" s="160"/>
      <c r="F18" s="160"/>
      <c r="G18" s="160">
        <v>0</v>
      </c>
      <c r="H18" s="160"/>
      <c r="I18" s="160"/>
      <c r="J18" s="6">
        <f t="shared" si="1"/>
        <v>146900.85999999999</v>
      </c>
      <c r="K18" s="61">
        <v>146900.85999999999</v>
      </c>
      <c r="L18" s="61" t="s">
        <v>26</v>
      </c>
      <c r="M18" s="61" t="s">
        <v>26</v>
      </c>
      <c r="N18" s="6">
        <f t="shared" si="2"/>
        <v>0</v>
      </c>
      <c r="O18" s="6">
        <f t="shared" si="0"/>
        <v>0</v>
      </c>
      <c r="P18" s="61" t="s">
        <v>26</v>
      </c>
      <c r="Q18" s="61"/>
      <c r="R18" s="61" t="s">
        <v>26</v>
      </c>
      <c r="S18" s="61"/>
      <c r="T18" s="61">
        <f t="shared" si="3"/>
        <v>0</v>
      </c>
      <c r="U18" s="61">
        <f t="shared" si="4"/>
        <v>0</v>
      </c>
    </row>
    <row r="19" spans="1:31" ht="82.9" customHeight="1" x14ac:dyDescent="0.25">
      <c r="A19" s="234"/>
      <c r="B19" s="286"/>
      <c r="C19" s="287" t="s">
        <v>35</v>
      </c>
      <c r="D19" s="37" t="s">
        <v>24</v>
      </c>
      <c r="E19" s="160">
        <v>2</v>
      </c>
      <c r="F19" s="160">
        <f>2-1</f>
        <v>1</v>
      </c>
      <c r="G19" s="160">
        <v>2</v>
      </c>
      <c r="H19" s="160">
        <f>1</f>
        <v>1</v>
      </c>
      <c r="I19" s="160">
        <f>1</f>
        <v>1</v>
      </c>
      <c r="J19" s="61">
        <f>SUM(K19:M19)</f>
        <v>489299.83</v>
      </c>
      <c r="K19" s="61">
        <f>445116.57+2198.86</f>
        <v>447315.43</v>
      </c>
      <c r="L19" s="6">
        <v>12790.33</v>
      </c>
      <c r="M19" s="6">
        <v>29194.07</v>
      </c>
      <c r="N19" s="6">
        <f>SUM(O19:R19)</f>
        <v>978599.66</v>
      </c>
      <c r="O19" s="6">
        <f>G19*K19</f>
        <v>894630.86</v>
      </c>
      <c r="P19" s="6">
        <f>G19*L19</f>
        <v>25580.66</v>
      </c>
      <c r="Q19" s="6"/>
      <c r="R19" s="61">
        <f>G19*M19</f>
        <v>58388.14</v>
      </c>
      <c r="S19" s="61"/>
      <c r="T19" s="61">
        <f>H19*J19</f>
        <v>489299.83</v>
      </c>
      <c r="U19" s="61">
        <f>I19*J19</f>
        <v>489299.83</v>
      </c>
      <c r="Y19" s="8"/>
    </row>
    <row r="20" spans="1:31" ht="18.75" customHeight="1" x14ac:dyDescent="0.25">
      <c r="A20" s="234"/>
      <c r="B20" s="286"/>
      <c r="C20" s="288" t="s">
        <v>36</v>
      </c>
      <c r="D20" s="37" t="s">
        <v>37</v>
      </c>
      <c r="E20" s="160">
        <v>12</v>
      </c>
      <c r="F20" s="160">
        <v>11</v>
      </c>
      <c r="G20" s="160">
        <v>11</v>
      </c>
      <c r="H20" s="160">
        <v>12</v>
      </c>
      <c r="I20" s="160">
        <v>12</v>
      </c>
      <c r="J20" s="61">
        <f>SUM(K20:M20)</f>
        <v>234360</v>
      </c>
      <c r="K20" s="61">
        <f>10000*1.5*1.302*12</f>
        <v>234360</v>
      </c>
      <c r="L20" s="6"/>
      <c r="M20" s="6"/>
      <c r="N20" s="6">
        <f>SUM(O20:R20)</f>
        <v>2577960</v>
      </c>
      <c r="O20" s="6">
        <f>G20*K20</f>
        <v>2577960</v>
      </c>
      <c r="P20" s="6"/>
      <c r="Q20" s="6"/>
      <c r="R20" s="61"/>
      <c r="S20" s="61"/>
      <c r="T20" s="61">
        <f>H20*K20-2812320</f>
        <v>0</v>
      </c>
      <c r="U20" s="61">
        <f>I20*K20-2812320</f>
        <v>0</v>
      </c>
    </row>
    <row r="21" spans="1:31" ht="24" customHeight="1" x14ac:dyDescent="0.25">
      <c r="A21" s="234"/>
      <c r="B21" s="289"/>
      <c r="C21" s="159" t="s">
        <v>38</v>
      </c>
      <c r="D21" s="37"/>
      <c r="E21" s="193">
        <f>E9+E19</f>
        <v>326</v>
      </c>
      <c r="F21" s="193">
        <f>F9+F19</f>
        <v>276</v>
      </c>
      <c r="G21" s="193">
        <f>G9+G19</f>
        <v>277</v>
      </c>
      <c r="H21" s="193">
        <f>H9+H19</f>
        <v>280</v>
      </c>
      <c r="I21" s="193">
        <f>I9+I19</f>
        <v>275</v>
      </c>
      <c r="J21" s="6" t="s">
        <v>26</v>
      </c>
      <c r="K21" s="6" t="s">
        <v>26</v>
      </c>
      <c r="L21" s="6" t="s">
        <v>26</v>
      </c>
      <c r="M21" s="6" t="s">
        <v>26</v>
      </c>
      <c r="N21" s="161">
        <f>SUM(N9:N20)</f>
        <v>35643695.619999997</v>
      </c>
      <c r="O21" s="161">
        <f t="shared" ref="O21:U21" si="5">SUM(O9:O20)</f>
        <v>24014016.819999997</v>
      </c>
      <c r="P21" s="161">
        <f t="shared" si="5"/>
        <v>3542921.41</v>
      </c>
      <c r="Q21" s="161">
        <f t="shared" si="5"/>
        <v>0</v>
      </c>
      <c r="R21" s="161">
        <f t="shared" si="5"/>
        <v>8086757.3899999997</v>
      </c>
      <c r="S21" s="161">
        <f t="shared" si="5"/>
        <v>0</v>
      </c>
      <c r="T21" s="161">
        <f t="shared" si="5"/>
        <v>33227518.440000001</v>
      </c>
      <c r="U21" s="161">
        <f t="shared" si="5"/>
        <v>32987224.799999997</v>
      </c>
      <c r="X21" s="8"/>
    </row>
    <row r="22" spans="1:31" ht="75" customHeight="1" x14ac:dyDescent="0.25">
      <c r="A22" s="234"/>
      <c r="B22" s="290" t="s">
        <v>621</v>
      </c>
      <c r="C22" s="285" t="s">
        <v>23</v>
      </c>
      <c r="D22" s="37" t="s">
        <v>24</v>
      </c>
      <c r="E22" s="160">
        <f>358+11</f>
        <v>369</v>
      </c>
      <c r="F22" s="160">
        <f>358+11</f>
        <v>369</v>
      </c>
      <c r="G22" s="160">
        <f>349+17</f>
        <v>366</v>
      </c>
      <c r="H22" s="160">
        <f>349+18</f>
        <v>367</v>
      </c>
      <c r="I22" s="160">
        <f>352+17</f>
        <v>369</v>
      </c>
      <c r="J22" s="6">
        <f>SUM(K22:M22)</f>
        <v>98880.290000000008</v>
      </c>
      <c r="K22" s="6">
        <f>54145.32+2750.57</f>
        <v>56895.89</v>
      </c>
      <c r="L22" s="6">
        <v>12790.33</v>
      </c>
      <c r="M22" s="6">
        <v>29194.07</v>
      </c>
      <c r="N22" s="6">
        <f>SUM(O22:R22)</f>
        <v>36190186.140000001</v>
      </c>
      <c r="O22" s="6">
        <f>G22*K22</f>
        <v>20823895.739999998</v>
      </c>
      <c r="P22" s="6">
        <f>G22*L22</f>
        <v>4681260.78</v>
      </c>
      <c r="Q22" s="61"/>
      <c r="R22" s="61">
        <f>G22*M22</f>
        <v>10685029.619999999</v>
      </c>
      <c r="S22" s="61"/>
      <c r="T22" s="61">
        <f>W22</f>
        <v>36289066.43</v>
      </c>
      <c r="U22" s="61">
        <f>AB22</f>
        <v>36486827.009999998</v>
      </c>
      <c r="W22" s="61">
        <f>SUM(X22:AA22)</f>
        <v>36289066.43</v>
      </c>
      <c r="X22" s="61">
        <f>H22*K22</f>
        <v>20880791.629999999</v>
      </c>
      <c r="Y22" s="6">
        <f>H22*L22</f>
        <v>4694051.1100000003</v>
      </c>
      <c r="Z22" s="61">
        <f>H22*M22</f>
        <v>10714223.689999999</v>
      </c>
      <c r="AB22" s="61">
        <f>SUM(AC22:AF22)</f>
        <v>36486827.009999998</v>
      </c>
      <c r="AC22" s="61">
        <f>I22*K22</f>
        <v>20994583.41</v>
      </c>
      <c r="AD22" s="6">
        <f>I22*L22</f>
        <v>4719631.7699999996</v>
      </c>
      <c r="AE22" s="61">
        <f>I22*M22</f>
        <v>10772611.83</v>
      </c>
    </row>
    <row r="23" spans="1:31" ht="90" x14ac:dyDescent="0.25">
      <c r="A23" s="234"/>
      <c r="B23" s="291"/>
      <c r="C23" s="285" t="s">
        <v>39</v>
      </c>
      <c r="D23" s="37" t="s">
        <v>24</v>
      </c>
      <c r="E23" s="160" t="s">
        <v>26</v>
      </c>
      <c r="F23" s="160" t="s">
        <v>26</v>
      </c>
      <c r="G23" s="160" t="s">
        <v>26</v>
      </c>
      <c r="H23" s="160" t="s">
        <v>26</v>
      </c>
      <c r="I23" s="160" t="s">
        <v>26</v>
      </c>
      <c r="J23" s="160" t="s">
        <v>26</v>
      </c>
      <c r="K23" s="160" t="s">
        <v>26</v>
      </c>
      <c r="L23" s="160" t="s">
        <v>26</v>
      </c>
      <c r="M23" s="160"/>
      <c r="N23" s="6"/>
      <c r="O23" s="6"/>
      <c r="P23" s="160" t="s">
        <v>26</v>
      </c>
      <c r="Q23" s="160"/>
      <c r="R23" s="160" t="s">
        <v>26</v>
      </c>
      <c r="S23" s="160"/>
      <c r="T23" s="61"/>
      <c r="U23" s="61"/>
    </row>
    <row r="24" spans="1:31" x14ac:dyDescent="0.25">
      <c r="A24" s="234"/>
      <c r="B24" s="291"/>
      <c r="C24" s="285" t="s">
        <v>29</v>
      </c>
      <c r="D24" s="37" t="s">
        <v>24</v>
      </c>
      <c r="E24" s="165">
        <f>4</f>
        <v>4</v>
      </c>
      <c r="F24" s="194">
        <f>4-1</f>
        <v>3</v>
      </c>
      <c r="G24" s="160">
        <v>4</v>
      </c>
      <c r="H24" s="165">
        <v>4</v>
      </c>
      <c r="I24" s="165">
        <v>4</v>
      </c>
      <c r="J24" s="6">
        <f t="shared" ref="J24:J29" si="6">K24</f>
        <v>119806.54</v>
      </c>
      <c r="K24" s="61">
        <v>119806.54</v>
      </c>
      <c r="L24" s="160" t="s">
        <v>26</v>
      </c>
      <c r="M24" s="160" t="s">
        <v>26</v>
      </c>
      <c r="N24" s="6">
        <f t="shared" ref="N24:N27" si="7">O24</f>
        <v>479226.16</v>
      </c>
      <c r="O24" s="6">
        <f>G24*K24</f>
        <v>479226.16</v>
      </c>
      <c r="P24" s="160" t="s">
        <v>26</v>
      </c>
      <c r="Q24" s="160"/>
      <c r="R24" s="160" t="s">
        <v>26</v>
      </c>
      <c r="S24" s="160"/>
      <c r="T24" s="61">
        <f t="shared" ref="T24:T27" si="8">H24*K24</f>
        <v>479226.16</v>
      </c>
      <c r="U24" s="61">
        <f t="shared" ref="U24:U27" si="9">I24*K24</f>
        <v>479226.16</v>
      </c>
    </row>
    <row r="25" spans="1:31" x14ac:dyDescent="0.25">
      <c r="A25" s="234"/>
      <c r="B25" s="291"/>
      <c r="C25" s="285" t="s">
        <v>31</v>
      </c>
      <c r="D25" s="37" t="s">
        <v>24</v>
      </c>
      <c r="E25" s="165">
        <v>3</v>
      </c>
      <c r="F25" s="194">
        <f>2+1</f>
        <v>3</v>
      </c>
      <c r="G25" s="160">
        <f>3+2</f>
        <v>5</v>
      </c>
      <c r="H25" s="165">
        <f>3+3</f>
        <v>6</v>
      </c>
      <c r="I25" s="165">
        <f>3+2</f>
        <v>5</v>
      </c>
      <c r="J25" s="6">
        <f t="shared" si="6"/>
        <v>310708.38</v>
      </c>
      <c r="K25" s="61">
        <v>310708.38</v>
      </c>
      <c r="L25" s="160" t="s">
        <v>26</v>
      </c>
      <c r="M25" s="160" t="s">
        <v>26</v>
      </c>
      <c r="N25" s="6">
        <f t="shared" si="7"/>
        <v>1553541.9</v>
      </c>
      <c r="O25" s="6">
        <f t="shared" ref="O25:O27" si="10">G25*K25</f>
        <v>1553541.9</v>
      </c>
      <c r="P25" s="160" t="s">
        <v>26</v>
      </c>
      <c r="Q25" s="160"/>
      <c r="R25" s="160" t="s">
        <v>26</v>
      </c>
      <c r="S25" s="160"/>
      <c r="T25" s="61">
        <f t="shared" si="8"/>
        <v>1864250.28</v>
      </c>
      <c r="U25" s="61">
        <f t="shared" si="9"/>
        <v>1553541.9</v>
      </c>
    </row>
    <row r="26" spans="1:31" x14ac:dyDescent="0.25">
      <c r="A26" s="234"/>
      <c r="B26" s="291"/>
      <c r="C26" s="285" t="s">
        <v>33</v>
      </c>
      <c r="D26" s="37" t="s">
        <v>24</v>
      </c>
      <c r="E26" s="165">
        <v>1</v>
      </c>
      <c r="F26" s="165">
        <v>1</v>
      </c>
      <c r="G26" s="160">
        <v>1</v>
      </c>
      <c r="H26" s="165">
        <v>1</v>
      </c>
      <c r="I26" s="165">
        <v>1</v>
      </c>
      <c r="J26" s="6">
        <f t="shared" si="6"/>
        <v>26113.16</v>
      </c>
      <c r="K26" s="61">
        <v>26113.16</v>
      </c>
      <c r="L26" s="160" t="s">
        <v>26</v>
      </c>
      <c r="M26" s="160" t="s">
        <v>26</v>
      </c>
      <c r="N26" s="6">
        <f t="shared" si="7"/>
        <v>26113.16</v>
      </c>
      <c r="O26" s="6">
        <f t="shared" si="10"/>
        <v>26113.16</v>
      </c>
      <c r="P26" s="160" t="s">
        <v>26</v>
      </c>
      <c r="Q26" s="160"/>
      <c r="R26" s="160" t="s">
        <v>26</v>
      </c>
      <c r="S26" s="160"/>
      <c r="T26" s="61">
        <f t="shared" si="8"/>
        <v>26113.16</v>
      </c>
      <c r="U26" s="61">
        <f t="shared" si="9"/>
        <v>26113.16</v>
      </c>
    </row>
    <row r="27" spans="1:31" x14ac:dyDescent="0.25">
      <c r="A27" s="234"/>
      <c r="B27" s="291"/>
      <c r="C27" s="285" t="s">
        <v>34</v>
      </c>
      <c r="D27" s="37" t="s">
        <v>24</v>
      </c>
      <c r="E27" s="165">
        <f>5+1</f>
        <v>6</v>
      </c>
      <c r="F27" s="165">
        <f>2+7</f>
        <v>9</v>
      </c>
      <c r="G27" s="160">
        <v>7</v>
      </c>
      <c r="H27" s="165">
        <v>7</v>
      </c>
      <c r="I27" s="165">
        <v>7</v>
      </c>
      <c r="J27" s="6">
        <f t="shared" si="6"/>
        <v>18697.54</v>
      </c>
      <c r="K27" s="61">
        <v>18697.54</v>
      </c>
      <c r="L27" s="160" t="s">
        <v>26</v>
      </c>
      <c r="M27" s="160" t="s">
        <v>26</v>
      </c>
      <c r="N27" s="6">
        <f t="shared" si="7"/>
        <v>130882.78</v>
      </c>
      <c r="O27" s="6">
        <f t="shared" si="10"/>
        <v>130882.78</v>
      </c>
      <c r="P27" s="160" t="s">
        <v>26</v>
      </c>
      <c r="Q27" s="160"/>
      <c r="R27" s="160" t="s">
        <v>26</v>
      </c>
      <c r="S27" s="160"/>
      <c r="T27" s="61">
        <f t="shared" si="8"/>
        <v>130882.78</v>
      </c>
      <c r="U27" s="61">
        <f t="shared" si="9"/>
        <v>130882.78</v>
      </c>
    </row>
    <row r="28" spans="1:31" ht="82.9" customHeight="1" x14ac:dyDescent="0.25">
      <c r="A28" s="234"/>
      <c r="B28" s="292"/>
      <c r="C28" s="285" t="s">
        <v>35</v>
      </c>
      <c r="D28" s="37" t="s">
        <v>24</v>
      </c>
      <c r="E28" s="165">
        <f>4</f>
        <v>4</v>
      </c>
      <c r="F28" s="165">
        <f>4-1</f>
        <v>3</v>
      </c>
      <c r="G28" s="160">
        <v>4</v>
      </c>
      <c r="H28" s="165">
        <f>5-4</f>
        <v>1</v>
      </c>
      <c r="I28" s="165">
        <f>2-1</f>
        <v>1</v>
      </c>
      <c r="J28" s="6">
        <f t="shared" si="6"/>
        <v>504480.39</v>
      </c>
      <c r="K28" s="61">
        <f>501729.82+2750.57</f>
        <v>504480.39</v>
      </c>
      <c r="L28" s="6">
        <v>12790.33</v>
      </c>
      <c r="M28" s="6">
        <v>29194.07</v>
      </c>
      <c r="N28" s="6">
        <f>SUM(O28:R28)</f>
        <v>2185859.16</v>
      </c>
      <c r="O28" s="6">
        <f>G28*K28</f>
        <v>2017921.56</v>
      </c>
      <c r="P28" s="6">
        <f>G28*L28</f>
        <v>51161.32</v>
      </c>
      <c r="Q28" s="61"/>
      <c r="R28" s="61">
        <f>G28*M28</f>
        <v>116776.28</v>
      </c>
      <c r="S28" s="61"/>
      <c r="T28" s="61">
        <f>W28</f>
        <v>546464.79</v>
      </c>
      <c r="U28" s="61">
        <f>AB28</f>
        <v>546464.79</v>
      </c>
      <c r="W28" s="61">
        <f>SUM(X28:AA28)</f>
        <v>546464.79</v>
      </c>
      <c r="X28" s="61">
        <f>H28*K28</f>
        <v>504480.39</v>
      </c>
      <c r="Y28" s="6">
        <f>H28*L28</f>
        <v>12790.33</v>
      </c>
      <c r="Z28" s="61">
        <f>H28*M28</f>
        <v>29194.07</v>
      </c>
      <c r="AB28" s="61">
        <f>SUM(AC28:AF28)</f>
        <v>546464.79</v>
      </c>
      <c r="AC28" s="61">
        <f>I28*K28</f>
        <v>504480.39</v>
      </c>
      <c r="AD28" s="6">
        <f>I28*L28</f>
        <v>12790.33</v>
      </c>
      <c r="AE28" s="61">
        <f>I28*M28</f>
        <v>29194.07</v>
      </c>
    </row>
    <row r="29" spans="1:31" ht="28.5" x14ac:dyDescent="0.25">
      <c r="A29" s="234"/>
      <c r="B29" s="293"/>
      <c r="C29" s="162" t="s">
        <v>36</v>
      </c>
      <c r="D29" s="37" t="s">
        <v>37</v>
      </c>
      <c r="E29" s="165">
        <v>15</v>
      </c>
      <c r="F29" s="165">
        <f>14+1</f>
        <v>15</v>
      </c>
      <c r="G29" s="160">
        <v>15</v>
      </c>
      <c r="H29" s="165">
        <f>14+1</f>
        <v>15</v>
      </c>
      <c r="I29" s="165">
        <f>14+1</f>
        <v>15</v>
      </c>
      <c r="J29" s="6">
        <f t="shared" si="6"/>
        <v>234360</v>
      </c>
      <c r="K29" s="61">
        <f>10000*1.5*1.302*12</f>
        <v>234360</v>
      </c>
      <c r="L29" s="6"/>
      <c r="M29" s="6"/>
      <c r="N29" s="6">
        <f>SUM(O29:R29)</f>
        <v>3515400</v>
      </c>
      <c r="O29" s="6">
        <f>G29*K29</f>
        <v>3515400</v>
      </c>
      <c r="P29" s="6"/>
      <c r="Q29" s="61"/>
      <c r="R29" s="61"/>
      <c r="S29" s="61"/>
      <c r="T29" s="61">
        <f>H29*K29-3515400</f>
        <v>0</v>
      </c>
      <c r="U29" s="61">
        <f>I29*K29-3515400</f>
        <v>0</v>
      </c>
    </row>
    <row r="30" spans="1:31" ht="23.45" customHeight="1" x14ac:dyDescent="0.25">
      <c r="A30" s="234"/>
      <c r="B30" s="293"/>
      <c r="C30" s="162" t="s">
        <v>38</v>
      </c>
      <c r="D30" s="37"/>
      <c r="E30" s="194">
        <f>E22+E28</f>
        <v>373</v>
      </c>
      <c r="F30" s="194">
        <f>F22+F28</f>
        <v>372</v>
      </c>
      <c r="G30" s="194">
        <f>G22+G28</f>
        <v>370</v>
      </c>
      <c r="H30" s="194">
        <f>H22+H28</f>
        <v>368</v>
      </c>
      <c r="I30" s="194">
        <f>I22+I28</f>
        <v>370</v>
      </c>
      <c r="J30" s="160" t="s">
        <v>26</v>
      </c>
      <c r="K30" s="160" t="s">
        <v>26</v>
      </c>
      <c r="L30" s="160" t="s">
        <v>26</v>
      </c>
      <c r="M30" s="160" t="s">
        <v>26</v>
      </c>
      <c r="N30" s="62">
        <f>SUM(N22:N29)</f>
        <v>44081209.299999997</v>
      </c>
      <c r="O30" s="62">
        <f t="shared" ref="O30:U30" si="11">SUM(O22:O29)</f>
        <v>28546981.299999997</v>
      </c>
      <c r="P30" s="62">
        <f t="shared" si="11"/>
        <v>4732422.1000000006</v>
      </c>
      <c r="Q30" s="62">
        <f t="shared" si="11"/>
        <v>0</v>
      </c>
      <c r="R30" s="62">
        <f t="shared" si="11"/>
        <v>10801805.899999999</v>
      </c>
      <c r="S30" s="62">
        <f t="shared" si="11"/>
        <v>0</v>
      </c>
      <c r="T30" s="62">
        <f t="shared" si="11"/>
        <v>39336003.599999994</v>
      </c>
      <c r="U30" s="62">
        <f t="shared" si="11"/>
        <v>39223055.79999999</v>
      </c>
    </row>
    <row r="31" spans="1:31" ht="74.45" customHeight="1" x14ac:dyDescent="0.25">
      <c r="A31" s="234"/>
      <c r="B31" s="290" t="s">
        <v>622</v>
      </c>
      <c r="C31" s="285" t="s">
        <v>23</v>
      </c>
      <c r="D31" s="37" t="s">
        <v>24</v>
      </c>
      <c r="E31" s="165">
        <f>47-1</f>
        <v>46</v>
      </c>
      <c r="F31" s="165">
        <f>47-12</f>
        <v>35</v>
      </c>
      <c r="G31" s="160">
        <v>35</v>
      </c>
      <c r="H31" s="165">
        <v>42</v>
      </c>
      <c r="I31" s="165">
        <v>50</v>
      </c>
      <c r="J31" s="6">
        <f>SUM(K31:M31)</f>
        <v>114855.91</v>
      </c>
      <c r="K31" s="6">
        <f>70145.11+2726.4</f>
        <v>72871.509999999995</v>
      </c>
      <c r="L31" s="6">
        <v>12790.33</v>
      </c>
      <c r="M31" s="6">
        <v>29194.07</v>
      </c>
      <c r="N31" s="61">
        <f>SUM(O31:R31)</f>
        <v>4019956.8499999996</v>
      </c>
      <c r="O31" s="61">
        <f>G31*K31</f>
        <v>2550502.8499999996</v>
      </c>
      <c r="P31" s="6">
        <f>G31*L31</f>
        <v>447661.55</v>
      </c>
      <c r="Q31" s="61"/>
      <c r="R31" s="61">
        <f>G31*M31</f>
        <v>1021792.45</v>
      </c>
      <c r="S31" s="61"/>
      <c r="T31" s="61">
        <f>W31</f>
        <v>4823948.22</v>
      </c>
      <c r="U31" s="61">
        <f>AB31</f>
        <v>5742795.5</v>
      </c>
      <c r="W31" s="61">
        <f>SUM(X31:AA31)</f>
        <v>4823948.22</v>
      </c>
      <c r="X31" s="61">
        <f>H31*K31</f>
        <v>3060603.42</v>
      </c>
      <c r="Y31" s="6">
        <f>H31*L31</f>
        <v>537193.86</v>
      </c>
      <c r="Z31" s="61">
        <f>H31*M31</f>
        <v>1226150.94</v>
      </c>
      <c r="AB31" s="61">
        <f>SUM(AC31:AF31)</f>
        <v>5742795.5</v>
      </c>
      <c r="AC31" s="61">
        <f>I31*K31</f>
        <v>3643575.4999999995</v>
      </c>
      <c r="AD31" s="6">
        <f>I31*L31</f>
        <v>639516.5</v>
      </c>
      <c r="AE31" s="61">
        <f>I31*M31</f>
        <v>1459703.5</v>
      </c>
    </row>
    <row r="32" spans="1:31" ht="90" x14ac:dyDescent="0.25">
      <c r="A32" s="234"/>
      <c r="B32" s="291"/>
      <c r="C32" s="287" t="s">
        <v>39</v>
      </c>
      <c r="D32" s="37" t="s">
        <v>24</v>
      </c>
      <c r="E32" s="160" t="s">
        <v>26</v>
      </c>
      <c r="F32" s="160" t="s">
        <v>26</v>
      </c>
      <c r="G32" s="160" t="s">
        <v>26</v>
      </c>
      <c r="H32" s="160" t="s">
        <v>26</v>
      </c>
      <c r="I32" s="160" t="s">
        <v>26</v>
      </c>
      <c r="J32" s="160" t="s">
        <v>26</v>
      </c>
      <c r="K32" s="160" t="s">
        <v>26</v>
      </c>
      <c r="L32" s="160" t="s">
        <v>26</v>
      </c>
      <c r="M32" s="160" t="s">
        <v>26</v>
      </c>
      <c r="N32" s="6"/>
      <c r="O32" s="6"/>
      <c r="P32" s="160" t="s">
        <v>26</v>
      </c>
      <c r="Q32" s="160"/>
      <c r="R32" s="160" t="s">
        <v>26</v>
      </c>
      <c r="S32" s="160"/>
      <c r="T32" s="61"/>
      <c r="U32" s="61"/>
    </row>
    <row r="33" spans="1:31" ht="20.45" customHeight="1" x14ac:dyDescent="0.25">
      <c r="A33" s="234"/>
      <c r="B33" s="291"/>
      <c r="C33" s="287" t="s">
        <v>29</v>
      </c>
      <c r="D33" s="37" t="s">
        <v>24</v>
      </c>
      <c r="E33" s="160">
        <v>1</v>
      </c>
      <c r="F33" s="160">
        <v>1</v>
      </c>
      <c r="G33" s="193">
        <v>1</v>
      </c>
      <c r="H33" s="160">
        <v>0</v>
      </c>
      <c r="I33" s="160">
        <v>0</v>
      </c>
      <c r="J33" s="6">
        <f>K33</f>
        <v>122576.58</v>
      </c>
      <c r="K33" s="61">
        <v>122576.58</v>
      </c>
      <c r="L33" s="160" t="s">
        <v>26</v>
      </c>
      <c r="M33" s="160" t="s">
        <v>26</v>
      </c>
      <c r="N33" s="6">
        <f>O33</f>
        <v>122576.58</v>
      </c>
      <c r="O33" s="6">
        <f>G33*K33</f>
        <v>122576.58</v>
      </c>
      <c r="P33" s="160" t="s">
        <v>26</v>
      </c>
      <c r="Q33" s="160"/>
      <c r="R33" s="160" t="s">
        <v>26</v>
      </c>
      <c r="S33" s="160"/>
      <c r="T33" s="61">
        <f>H33*K33</f>
        <v>0</v>
      </c>
      <c r="U33" s="61">
        <f>I33*K33</f>
        <v>0</v>
      </c>
    </row>
    <row r="34" spans="1:31" ht="82.9" customHeight="1" x14ac:dyDescent="0.25">
      <c r="A34" s="234"/>
      <c r="B34" s="291"/>
      <c r="C34" s="287" t="s">
        <v>35</v>
      </c>
      <c r="D34" s="37" t="s">
        <v>24</v>
      </c>
      <c r="E34" s="165">
        <v>1</v>
      </c>
      <c r="F34" s="165">
        <v>1</v>
      </c>
      <c r="G34" s="160">
        <v>1</v>
      </c>
      <c r="H34" s="165">
        <v>0</v>
      </c>
      <c r="I34" s="165">
        <v>0</v>
      </c>
      <c r="J34" s="6">
        <f>SUM(K34:M34)</f>
        <v>601841.6</v>
      </c>
      <c r="K34" s="61">
        <f>557130.8+2726.4</f>
        <v>559857.20000000007</v>
      </c>
      <c r="L34" s="6">
        <v>12790.33</v>
      </c>
      <c r="M34" s="6">
        <v>29194.07</v>
      </c>
      <c r="N34" s="6">
        <f>SUM(O34:R34)</f>
        <v>601841.6</v>
      </c>
      <c r="O34" s="6">
        <f>G34*K34</f>
        <v>559857.20000000007</v>
      </c>
      <c r="P34" s="6">
        <f>G34*L34</f>
        <v>12790.33</v>
      </c>
      <c r="Q34" s="61"/>
      <c r="R34" s="61">
        <f>G34*M34</f>
        <v>29194.07</v>
      </c>
      <c r="S34" s="61"/>
      <c r="T34" s="61">
        <f>W34</f>
        <v>0</v>
      </c>
      <c r="U34" s="61">
        <f>AB34</f>
        <v>0</v>
      </c>
      <c r="W34" s="61">
        <f>SUM(X34:AA34)</f>
        <v>0</v>
      </c>
      <c r="X34" s="61">
        <f>H34*K34</f>
        <v>0</v>
      </c>
      <c r="Y34" s="6">
        <f>H34*L34</f>
        <v>0</v>
      </c>
      <c r="Z34" s="61">
        <f>H34*M34</f>
        <v>0</v>
      </c>
      <c r="AB34" s="61">
        <f>SUM(AC34:AF34)</f>
        <v>0</v>
      </c>
      <c r="AC34" s="61">
        <f>I34*K34</f>
        <v>0</v>
      </c>
      <c r="AD34" s="6">
        <f>I34*L34</f>
        <v>0</v>
      </c>
      <c r="AE34" s="61">
        <f>I34*M34</f>
        <v>0</v>
      </c>
    </row>
    <row r="35" spans="1:31" ht="90" x14ac:dyDescent="0.25">
      <c r="A35" s="234"/>
      <c r="B35" s="292"/>
      <c r="C35" s="287" t="s">
        <v>40</v>
      </c>
      <c r="D35" s="37" t="s">
        <v>24</v>
      </c>
      <c r="E35" s="165">
        <f>28-2</f>
        <v>26</v>
      </c>
      <c r="F35" s="165">
        <f>28-4</f>
        <v>24</v>
      </c>
      <c r="G35" s="160">
        <f>25+7</f>
        <v>32</v>
      </c>
      <c r="H35" s="165">
        <f>28+7</f>
        <v>35</v>
      </c>
      <c r="I35" s="165">
        <v>25</v>
      </c>
      <c r="J35" s="6">
        <f>SUM(K35:M35)</f>
        <v>105797.73999999999</v>
      </c>
      <c r="K35" s="61">
        <f>61086.94+2726.4</f>
        <v>63813.340000000004</v>
      </c>
      <c r="L35" s="6">
        <v>12790.33</v>
      </c>
      <c r="M35" s="6">
        <v>29194.07</v>
      </c>
      <c r="N35" s="61">
        <f>SUM(O35:R35)</f>
        <v>3385527.6799999997</v>
      </c>
      <c r="O35" s="61">
        <f>G35*K35</f>
        <v>2042026.8800000001</v>
      </c>
      <c r="P35" s="6">
        <f>G35*L35</f>
        <v>409290.56</v>
      </c>
      <c r="Q35" s="160" t="s">
        <v>26</v>
      </c>
      <c r="R35" s="6">
        <f>G35*M35</f>
        <v>934210.24</v>
      </c>
      <c r="S35" s="160" t="s">
        <v>26</v>
      </c>
      <c r="T35" s="61">
        <f>W35</f>
        <v>3702920.8999999994</v>
      </c>
      <c r="U35" s="61">
        <f>AB35</f>
        <v>2644943.5</v>
      </c>
      <c r="W35" s="61">
        <f>SUM(X35:AA35)</f>
        <v>3702920.8999999994</v>
      </c>
      <c r="X35" s="61">
        <f>H35*K35</f>
        <v>2233466.9</v>
      </c>
      <c r="Y35" s="6">
        <f>H35*L35</f>
        <v>447661.55</v>
      </c>
      <c r="Z35" s="61">
        <f>H35*M35</f>
        <v>1021792.45</v>
      </c>
      <c r="AB35" s="61">
        <f>SUM(AC35:AF35)</f>
        <v>2644943.5</v>
      </c>
      <c r="AC35" s="61">
        <f>I35*K35</f>
        <v>1595333.5</v>
      </c>
      <c r="AD35" s="6">
        <f>I35*L35</f>
        <v>319758.25</v>
      </c>
      <c r="AE35" s="61">
        <f>I35*M35</f>
        <v>729851.75</v>
      </c>
    </row>
    <row r="36" spans="1:31" ht="29.25" x14ac:dyDescent="0.25">
      <c r="A36" s="234"/>
      <c r="B36" s="294"/>
      <c r="C36" s="159" t="s">
        <v>36</v>
      </c>
      <c r="D36" s="37" t="s">
        <v>37</v>
      </c>
      <c r="E36" s="165">
        <v>4</v>
      </c>
      <c r="F36" s="165">
        <v>4</v>
      </c>
      <c r="G36" s="160">
        <v>4</v>
      </c>
      <c r="H36" s="165">
        <v>4</v>
      </c>
      <c r="I36" s="165">
        <v>4</v>
      </c>
      <c r="J36" s="61">
        <f>K36+L36</f>
        <v>234360</v>
      </c>
      <c r="K36" s="61">
        <f>10000*1.5*1.302*12</f>
        <v>234360</v>
      </c>
      <c r="L36" s="6"/>
      <c r="M36" s="6"/>
      <c r="N36" s="61">
        <f>SUM(O36:R36)</f>
        <v>937440</v>
      </c>
      <c r="O36" s="61">
        <f>G36*K36</f>
        <v>937440</v>
      </c>
      <c r="P36" s="6"/>
      <c r="Q36" s="160"/>
      <c r="R36" s="6"/>
      <c r="S36" s="160"/>
      <c r="T36" s="61">
        <f>H36*K36-937440</f>
        <v>0</v>
      </c>
      <c r="U36" s="61">
        <f>I36*K36-937440</f>
        <v>0</v>
      </c>
    </row>
    <row r="37" spans="1:31" ht="25.9" customHeight="1" x14ac:dyDescent="0.25">
      <c r="A37" s="234"/>
      <c r="B37" s="293"/>
      <c r="C37" s="159" t="s">
        <v>38</v>
      </c>
      <c r="D37" s="37"/>
      <c r="E37" s="194">
        <f>E31+E34+E35</f>
        <v>73</v>
      </c>
      <c r="F37" s="194">
        <f>F31+F34+F35</f>
        <v>60</v>
      </c>
      <c r="G37" s="194">
        <f>G31+G33+G34+G35</f>
        <v>69</v>
      </c>
      <c r="H37" s="194">
        <f>H31+H33+H34+H35</f>
        <v>77</v>
      </c>
      <c r="I37" s="194">
        <f>I31+I33+I34+I35</f>
        <v>75</v>
      </c>
      <c r="J37" s="61" t="s">
        <v>26</v>
      </c>
      <c r="K37" s="61" t="s">
        <v>26</v>
      </c>
      <c r="L37" s="61" t="s">
        <v>26</v>
      </c>
      <c r="M37" s="61" t="s">
        <v>26</v>
      </c>
      <c r="N37" s="62">
        <f>SUM(N31:N36)</f>
        <v>9067342.709999999</v>
      </c>
      <c r="O37" s="62">
        <f t="shared" ref="O37:U37" si="12">SUM(O31:O36)</f>
        <v>6212403.5099999998</v>
      </c>
      <c r="P37" s="62">
        <f t="shared" si="12"/>
        <v>869742.44</v>
      </c>
      <c r="Q37" s="62">
        <f t="shared" si="12"/>
        <v>0</v>
      </c>
      <c r="R37" s="62">
        <f t="shared" si="12"/>
        <v>1985196.76</v>
      </c>
      <c r="S37" s="62">
        <f t="shared" si="12"/>
        <v>0</v>
      </c>
      <c r="T37" s="62">
        <f t="shared" si="12"/>
        <v>8526869.1199999992</v>
      </c>
      <c r="U37" s="62">
        <f t="shared" si="12"/>
        <v>8387739</v>
      </c>
    </row>
    <row r="38" spans="1:31" ht="52.15" customHeight="1" x14ac:dyDescent="0.25">
      <c r="A38" s="234"/>
      <c r="B38" s="229" t="s">
        <v>109</v>
      </c>
      <c r="C38" s="295" t="s">
        <v>41</v>
      </c>
      <c r="D38" s="37" t="s">
        <v>24</v>
      </c>
      <c r="E38" s="165">
        <f>1250+225-118+112</f>
        <v>1469</v>
      </c>
      <c r="F38" s="165">
        <f>1199+270</f>
        <v>1469</v>
      </c>
      <c r="G38" s="160">
        <v>1469</v>
      </c>
      <c r="H38" s="165">
        <f>1250+225</f>
        <v>1475</v>
      </c>
      <c r="I38" s="165">
        <f>1250+227</f>
        <v>1477</v>
      </c>
      <c r="J38" s="61">
        <f>K38</f>
        <v>5125.76</v>
      </c>
      <c r="K38" s="61">
        <v>5125.76</v>
      </c>
      <c r="L38" s="61" t="s">
        <v>26</v>
      </c>
      <c r="M38" s="61" t="s">
        <v>26</v>
      </c>
      <c r="N38" s="61">
        <f>SUM(O38:R38)</f>
        <v>7529741.4400000004</v>
      </c>
      <c r="O38" s="61">
        <f>G38*K38</f>
        <v>7529741.4400000004</v>
      </c>
      <c r="P38" s="61" t="s">
        <v>26</v>
      </c>
      <c r="Q38" s="61"/>
      <c r="R38" s="61" t="s">
        <v>26</v>
      </c>
      <c r="S38" s="61"/>
      <c r="T38" s="61">
        <f>H38*K38</f>
        <v>7560496</v>
      </c>
      <c r="U38" s="61">
        <f>I38*K38</f>
        <v>7570747.5200000005</v>
      </c>
      <c r="W38" s="77" t="s">
        <v>551</v>
      </c>
      <c r="AC38" s="1" t="s">
        <v>42</v>
      </c>
    </row>
    <row r="39" spans="1:31" ht="52.9" customHeight="1" x14ac:dyDescent="0.25">
      <c r="A39" s="234"/>
      <c r="B39" s="230"/>
      <c r="C39" s="296"/>
      <c r="D39" s="298" t="s">
        <v>225</v>
      </c>
      <c r="E39" s="165">
        <f>159907</f>
        <v>159907</v>
      </c>
      <c r="F39" s="165">
        <v>202619</v>
      </c>
      <c r="G39" s="160">
        <f>202619+1231</f>
        <v>203850</v>
      </c>
      <c r="H39" s="165">
        <f>162164+42356</f>
        <v>204520</v>
      </c>
      <c r="I39" s="165">
        <f>162100+42910</f>
        <v>205010</v>
      </c>
      <c r="J39" s="61">
        <f>K39</f>
        <v>36.937657297032132</v>
      </c>
      <c r="K39" s="61">
        <f>N39/G39</f>
        <v>36.937657297032132</v>
      </c>
      <c r="L39" s="61" t="s">
        <v>26</v>
      </c>
      <c r="M39" s="61" t="s">
        <v>26</v>
      </c>
      <c r="N39" s="61">
        <f>N38</f>
        <v>7529741.4400000004</v>
      </c>
      <c r="O39" s="61">
        <f>O38</f>
        <v>7529741.4400000004</v>
      </c>
      <c r="P39" s="61" t="s">
        <v>26</v>
      </c>
      <c r="Q39" s="61"/>
      <c r="R39" s="61" t="s">
        <v>26</v>
      </c>
      <c r="S39" s="61"/>
      <c r="T39" s="61">
        <f>(T38/G39)*H39</f>
        <v>7585345.3123375038</v>
      </c>
      <c r="U39" s="61">
        <f>U38/G39*I39</f>
        <v>7613828.545868041</v>
      </c>
    </row>
    <row r="40" spans="1:31" ht="24" customHeight="1" x14ac:dyDescent="0.25">
      <c r="A40" s="234"/>
      <c r="B40" s="218"/>
      <c r="C40" s="162" t="s">
        <v>38</v>
      </c>
      <c r="D40" s="37" t="s">
        <v>24</v>
      </c>
      <c r="E40" s="165">
        <f>SUM(E38:E38)</f>
        <v>1469</v>
      </c>
      <c r="F40" s="165">
        <f>SUM(F38:F38)</f>
        <v>1469</v>
      </c>
      <c r="G40" s="160">
        <f>G38</f>
        <v>1469</v>
      </c>
      <c r="H40" s="165">
        <f>SUM(H38:H38)</f>
        <v>1475</v>
      </c>
      <c r="I40" s="165">
        <f>SUM(I38:I38)</f>
        <v>1477</v>
      </c>
      <c r="J40" s="61" t="s">
        <v>26</v>
      </c>
      <c r="K40" s="61" t="s">
        <v>26</v>
      </c>
      <c r="L40" s="61" t="s">
        <v>26</v>
      </c>
      <c r="M40" s="61">
        <f t="shared" ref="M40:U40" si="13">SUM(M38:M38)</f>
        <v>0</v>
      </c>
      <c r="N40" s="62">
        <f t="shared" si="13"/>
        <v>7529741.4400000004</v>
      </c>
      <c r="O40" s="61">
        <f t="shared" si="13"/>
        <v>7529741.4400000004</v>
      </c>
      <c r="P40" s="61">
        <f t="shared" si="13"/>
        <v>0</v>
      </c>
      <c r="Q40" s="61"/>
      <c r="R40" s="61">
        <f t="shared" si="13"/>
        <v>0</v>
      </c>
      <c r="S40" s="61"/>
      <c r="T40" s="61">
        <f t="shared" si="13"/>
        <v>7560496</v>
      </c>
      <c r="U40" s="61">
        <f t="shared" si="13"/>
        <v>7570747.5200000005</v>
      </c>
    </row>
    <row r="41" spans="1:31" ht="29.25" x14ac:dyDescent="0.25">
      <c r="A41" s="234"/>
      <c r="B41" s="159" t="s">
        <v>457</v>
      </c>
      <c r="C41" s="9" t="s">
        <v>44</v>
      </c>
      <c r="D41" s="37" t="s">
        <v>24</v>
      </c>
      <c r="E41" s="165">
        <v>1</v>
      </c>
      <c r="F41" s="165">
        <v>1</v>
      </c>
      <c r="G41" s="160">
        <v>1</v>
      </c>
      <c r="H41" s="165">
        <v>0</v>
      </c>
      <c r="I41" s="165">
        <v>0</v>
      </c>
      <c r="J41" s="61">
        <f>K41+L41+M41</f>
        <v>234469.4</v>
      </c>
      <c r="K41" s="61"/>
      <c r="L41" s="61">
        <v>234469.4</v>
      </c>
      <c r="M41" s="61"/>
      <c r="N41" s="61">
        <f>P41</f>
        <v>234469.4</v>
      </c>
      <c r="O41" s="61"/>
      <c r="P41" s="61">
        <f>G41*L41</f>
        <v>234469.4</v>
      </c>
      <c r="Q41" s="61"/>
      <c r="R41" s="61"/>
      <c r="S41" s="61"/>
      <c r="T41" s="61">
        <f>H41*L41</f>
        <v>0</v>
      </c>
      <c r="U41" s="61">
        <f>I41*L41</f>
        <v>0</v>
      </c>
    </row>
    <row r="42" spans="1:31" ht="29.25" x14ac:dyDescent="0.25">
      <c r="A42" s="234"/>
      <c r="B42" s="159" t="s">
        <v>45</v>
      </c>
      <c r="C42" s="9" t="s">
        <v>44</v>
      </c>
      <c r="D42" s="37" t="s">
        <v>46</v>
      </c>
      <c r="E42" s="165">
        <f>14+3</f>
        <v>17</v>
      </c>
      <c r="F42" s="165">
        <f>14+3</f>
        <v>17</v>
      </c>
      <c r="G42" s="160">
        <v>17</v>
      </c>
      <c r="H42" s="165">
        <f>14+3</f>
        <v>17</v>
      </c>
      <c r="I42" s="165">
        <f>14+3</f>
        <v>17</v>
      </c>
      <c r="J42" s="61" t="s">
        <v>26</v>
      </c>
      <c r="K42" s="61" t="s">
        <v>26</v>
      </c>
      <c r="L42" s="61">
        <v>316440.09999999998</v>
      </c>
      <c r="M42" s="61"/>
      <c r="N42" s="61">
        <f>P42</f>
        <v>5379481.6999999993</v>
      </c>
      <c r="O42" s="61"/>
      <c r="P42" s="61">
        <f>G42*L42</f>
        <v>5379481.6999999993</v>
      </c>
      <c r="Q42" s="61"/>
      <c r="R42" s="61"/>
      <c r="S42" s="61"/>
      <c r="T42" s="61">
        <f>H42*L42</f>
        <v>5379481.6999999993</v>
      </c>
      <c r="U42" s="61">
        <f>I42*L42</f>
        <v>5379481.6999999993</v>
      </c>
    </row>
    <row r="43" spans="1:31" ht="13.9" hidden="1" customHeight="1" x14ac:dyDescent="0.25">
      <c r="A43" s="234"/>
      <c r="B43" s="158"/>
      <c r="C43" s="9"/>
      <c r="D43" s="37"/>
      <c r="E43" s="165"/>
      <c r="F43" s="165"/>
      <c r="G43" s="160"/>
      <c r="H43" s="165"/>
      <c r="I43" s="165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>
        <f>Q43</f>
        <v>0</v>
      </c>
      <c r="U43" s="61">
        <f>T43</f>
        <v>0</v>
      </c>
    </row>
    <row r="44" spans="1:31" ht="13.9" hidden="1" customHeight="1" x14ac:dyDescent="0.25">
      <c r="A44" s="234"/>
      <c r="B44" s="158"/>
      <c r="C44" s="9"/>
      <c r="D44" s="37"/>
      <c r="E44" s="165"/>
      <c r="F44" s="165"/>
      <c r="G44" s="160"/>
      <c r="H44" s="160"/>
      <c r="I44" s="160"/>
      <c r="J44" s="61"/>
      <c r="K44" s="61"/>
      <c r="L44" s="61"/>
      <c r="M44" s="61"/>
      <c r="N44" s="61">
        <f>S44</f>
        <v>0</v>
      </c>
      <c r="O44" s="61"/>
      <c r="P44" s="61"/>
      <c r="Q44" s="61"/>
      <c r="R44" s="61"/>
      <c r="S44" s="61"/>
      <c r="T44" s="61"/>
      <c r="U44" s="61"/>
    </row>
    <row r="45" spans="1:31" ht="19.149999999999999" customHeight="1" x14ac:dyDescent="0.25">
      <c r="A45" s="234"/>
      <c r="B45" s="158" t="s">
        <v>47</v>
      </c>
      <c r="C45" s="9" t="s">
        <v>44</v>
      </c>
      <c r="D45" s="37"/>
      <c r="E45" s="165">
        <v>31</v>
      </c>
      <c r="F45" s="165">
        <v>30</v>
      </c>
      <c r="G45" s="160">
        <v>30</v>
      </c>
      <c r="H45" s="160">
        <v>31</v>
      </c>
      <c r="I45" s="160">
        <v>31</v>
      </c>
      <c r="J45" s="61"/>
      <c r="K45" s="61"/>
      <c r="L45" s="61"/>
      <c r="M45" s="61"/>
      <c r="N45" s="61">
        <f>SUM(O45:R45)</f>
        <v>7030800</v>
      </c>
      <c r="O45" s="61">
        <f>O20+O29+O36</f>
        <v>7030800</v>
      </c>
      <c r="P45" s="61"/>
      <c r="Q45" s="61"/>
      <c r="R45" s="61"/>
      <c r="S45" s="61"/>
      <c r="T45" s="61">
        <f>T20+T29+T36</f>
        <v>0</v>
      </c>
      <c r="U45" s="61">
        <f>U20+U29+U36</f>
        <v>0</v>
      </c>
    </row>
    <row r="46" spans="1:31" hidden="1" x14ac:dyDescent="0.25">
      <c r="A46" s="234"/>
      <c r="B46" s="158" t="s">
        <v>48</v>
      </c>
      <c r="C46" s="9" t="s">
        <v>44</v>
      </c>
      <c r="D46" s="37"/>
      <c r="E46" s="165"/>
      <c r="F46" s="165"/>
      <c r="G46" s="160"/>
      <c r="H46" s="165"/>
      <c r="I46" s="165"/>
      <c r="J46" s="61"/>
      <c r="K46" s="61"/>
      <c r="L46" s="61"/>
      <c r="M46" s="61"/>
      <c r="N46" s="61">
        <f>O46</f>
        <v>0</v>
      </c>
      <c r="O46" s="61"/>
      <c r="P46" s="61"/>
      <c r="Q46" s="61"/>
      <c r="R46" s="61"/>
      <c r="S46" s="61"/>
      <c r="T46" s="61">
        <f>O46</f>
        <v>0</v>
      </c>
      <c r="U46" s="61">
        <f>T46</f>
        <v>0</v>
      </c>
    </row>
    <row r="47" spans="1:31" hidden="1" x14ac:dyDescent="0.25">
      <c r="A47" s="234"/>
      <c r="B47" s="158" t="s">
        <v>49</v>
      </c>
      <c r="C47" s="9" t="s">
        <v>44</v>
      </c>
      <c r="D47" s="37"/>
      <c r="E47" s="165"/>
      <c r="F47" s="165"/>
      <c r="G47" s="160"/>
      <c r="H47" s="165"/>
      <c r="I47" s="165"/>
      <c r="J47" s="61"/>
      <c r="K47" s="61"/>
      <c r="L47" s="61"/>
      <c r="M47" s="61"/>
      <c r="N47" s="61">
        <f>P47</f>
        <v>0</v>
      </c>
      <c r="O47" s="61"/>
      <c r="P47" s="61"/>
      <c r="Q47" s="61"/>
      <c r="R47" s="61"/>
      <c r="S47" s="61"/>
      <c r="T47" s="61"/>
      <c r="U47" s="61">
        <f>T47</f>
        <v>0</v>
      </c>
    </row>
    <row r="48" spans="1:31" ht="19.149999999999999" customHeight="1" x14ac:dyDescent="0.25">
      <c r="A48" s="235"/>
      <c r="B48" s="158" t="s">
        <v>50</v>
      </c>
      <c r="C48" s="9"/>
      <c r="D48" s="10"/>
      <c r="E48" s="194">
        <f>E21+E30+E37</f>
        <v>772</v>
      </c>
      <c r="F48" s="194">
        <f>F21+F30+F37</f>
        <v>708</v>
      </c>
      <c r="G48" s="194">
        <f>G21+G30+G37</f>
        <v>716</v>
      </c>
      <c r="H48" s="194">
        <f>H21+H30+H37</f>
        <v>725</v>
      </c>
      <c r="I48" s="194">
        <f>I21+I30+I37</f>
        <v>720</v>
      </c>
      <c r="J48" s="62"/>
      <c r="K48" s="62"/>
      <c r="L48" s="62"/>
      <c r="M48" s="62"/>
      <c r="N48" s="62">
        <f>SUM(O48:S48)</f>
        <v>101935940.16999999</v>
      </c>
      <c r="O48" s="62">
        <f>O21+O30+O37+O40+O46</f>
        <v>66303143.069999985</v>
      </c>
      <c r="P48" s="62">
        <f>P21+P30+P37+P40+P41+P42+P43+P47</f>
        <v>14759037.050000001</v>
      </c>
      <c r="Q48" s="62">
        <f>Q21+Q30+Q37+Q40+Q41+Q42+Q43</f>
        <v>0</v>
      </c>
      <c r="R48" s="62">
        <f>R21+R30+R37+R40+R41+R42+R43+R44</f>
        <v>20873760.050000001</v>
      </c>
      <c r="S48" s="62">
        <f>S21+S30+S37+S40+S41+S42+S43+S44</f>
        <v>0</v>
      </c>
      <c r="T48" s="62">
        <f>T21+T30+T37+T40+T41+T42+T43+T44+T46+T47+0.01</f>
        <v>94030368.870000005</v>
      </c>
      <c r="U48" s="62">
        <f>U21+U30+U37+U40+U41+U42+U43+U44+U46+U47+0.01</f>
        <v>93548248.829999998</v>
      </c>
      <c r="X48" s="8"/>
      <c r="Y48" s="8"/>
      <c r="AB48" s="8"/>
    </row>
    <row r="49" spans="1:31" ht="75" customHeight="1" x14ac:dyDescent="0.25">
      <c r="A49" s="233" t="s">
        <v>51</v>
      </c>
      <c r="B49" s="290" t="s">
        <v>623</v>
      </c>
      <c r="C49" s="285" t="s">
        <v>23</v>
      </c>
      <c r="D49" s="189" t="s">
        <v>24</v>
      </c>
      <c r="E49" s="160">
        <v>232</v>
      </c>
      <c r="F49" s="160">
        <v>199</v>
      </c>
      <c r="G49" s="160">
        <f>166+33</f>
        <v>199</v>
      </c>
      <c r="H49" s="160">
        <f>200+45</f>
        <v>245</v>
      </c>
      <c r="I49" s="160">
        <f>200+45</f>
        <v>245</v>
      </c>
      <c r="J49" s="6">
        <f>SUM(K49:M49)</f>
        <v>81620.209999999992</v>
      </c>
      <c r="K49" s="6">
        <f>36390.31+2198.86</f>
        <v>38589.17</v>
      </c>
      <c r="L49" s="6">
        <v>13836.97</v>
      </c>
      <c r="M49" s="6">
        <v>29194.07</v>
      </c>
      <c r="N49" s="6">
        <f>SUM(O49:R49)</f>
        <v>16242421.789999999</v>
      </c>
      <c r="O49" s="6">
        <f>G49*K49</f>
        <v>7679244.8300000001</v>
      </c>
      <c r="P49" s="6">
        <f>G49*L49</f>
        <v>2753557.03</v>
      </c>
      <c r="Q49" s="6"/>
      <c r="R49" s="61">
        <f>G49*M49</f>
        <v>5809619.9299999997</v>
      </c>
      <c r="S49" s="61"/>
      <c r="T49" s="61">
        <f>W49</f>
        <v>19996951.450000003</v>
      </c>
      <c r="U49" s="61">
        <f>AB49</f>
        <v>19996951.450000003</v>
      </c>
      <c r="W49" s="61">
        <f>SUM(X49:AA49)</f>
        <v>19996951.450000003</v>
      </c>
      <c r="X49" s="61">
        <f>H49*K49</f>
        <v>9454346.6500000004</v>
      </c>
      <c r="Y49" s="6">
        <f>H49*L49</f>
        <v>3390057.65</v>
      </c>
      <c r="Z49" s="61">
        <f>H49*M49</f>
        <v>7152547.1500000004</v>
      </c>
      <c r="AB49" s="61">
        <f>SUM(AC49:AF49)</f>
        <v>19996951.450000003</v>
      </c>
      <c r="AC49" s="61">
        <f>I49*K49</f>
        <v>9454346.6500000004</v>
      </c>
      <c r="AD49" s="6">
        <f>I49*L49</f>
        <v>3390057.65</v>
      </c>
      <c r="AE49" s="61">
        <f>I49*M49</f>
        <v>7152547.1500000004</v>
      </c>
    </row>
    <row r="50" spans="1:31" ht="90" x14ac:dyDescent="0.25">
      <c r="A50" s="234"/>
      <c r="B50" s="291"/>
      <c r="C50" s="287" t="s">
        <v>25</v>
      </c>
      <c r="D50" s="189" t="s">
        <v>24</v>
      </c>
      <c r="E50" s="160" t="s">
        <v>26</v>
      </c>
      <c r="F50" s="160" t="s">
        <v>26</v>
      </c>
      <c r="G50" s="160" t="s">
        <v>26</v>
      </c>
      <c r="H50" s="160" t="s">
        <v>26</v>
      </c>
      <c r="I50" s="160" t="s">
        <v>26</v>
      </c>
      <c r="J50" s="160" t="s">
        <v>26</v>
      </c>
      <c r="K50" s="160" t="s">
        <v>26</v>
      </c>
      <c r="L50" s="160" t="s">
        <v>26</v>
      </c>
      <c r="M50" s="160" t="s">
        <v>26</v>
      </c>
      <c r="N50" s="6"/>
      <c r="O50" s="6"/>
      <c r="P50" s="160" t="s">
        <v>26</v>
      </c>
      <c r="Q50" s="160"/>
      <c r="R50" s="160" t="s">
        <v>26</v>
      </c>
      <c r="S50" s="160"/>
      <c r="T50" s="61"/>
      <c r="U50" s="61"/>
    </row>
    <row r="51" spans="1:31" x14ac:dyDescent="0.25">
      <c r="A51" s="234"/>
      <c r="B51" s="291"/>
      <c r="C51" s="287" t="s">
        <v>27</v>
      </c>
      <c r="D51" s="189" t="s">
        <v>24</v>
      </c>
      <c r="E51" s="160">
        <v>1</v>
      </c>
      <c r="F51" s="160">
        <v>1</v>
      </c>
      <c r="G51" s="160">
        <v>1</v>
      </c>
      <c r="H51" s="160">
        <v>1</v>
      </c>
      <c r="I51" s="160">
        <v>1</v>
      </c>
      <c r="J51" s="61">
        <f t="shared" ref="J51:J58" si="14">K51</f>
        <v>148440.13</v>
      </c>
      <c r="K51" s="6">
        <v>148440.13</v>
      </c>
      <c r="L51" s="160" t="s">
        <v>26</v>
      </c>
      <c r="M51" s="160" t="s">
        <v>26</v>
      </c>
      <c r="N51" s="6">
        <f t="shared" ref="N51:N58" si="15">O51</f>
        <v>148440.13</v>
      </c>
      <c r="O51" s="6">
        <f>G51*K51</f>
        <v>148440.13</v>
      </c>
      <c r="P51" s="160" t="s">
        <v>26</v>
      </c>
      <c r="Q51" s="160"/>
      <c r="R51" s="160" t="s">
        <v>26</v>
      </c>
      <c r="S51" s="160"/>
      <c r="T51" s="61">
        <f t="shared" ref="T51:T58" si="16">H51*K51</f>
        <v>148440.13</v>
      </c>
      <c r="U51" s="61">
        <f t="shared" ref="U51:U58" si="17">I51*K51</f>
        <v>148440.13</v>
      </c>
    </row>
    <row r="52" spans="1:31" x14ac:dyDescent="0.25">
      <c r="A52" s="234"/>
      <c r="B52" s="291"/>
      <c r="C52" s="287" t="s">
        <v>28</v>
      </c>
      <c r="D52" s="189" t="s">
        <v>24</v>
      </c>
      <c r="E52" s="160">
        <v>15</v>
      </c>
      <c r="F52" s="160">
        <f>15-5</f>
        <v>10</v>
      </c>
      <c r="G52" s="160">
        <v>10</v>
      </c>
      <c r="H52" s="160">
        <f>20</f>
        <v>20</v>
      </c>
      <c r="I52" s="160">
        <f>20</f>
        <v>20</v>
      </c>
      <c r="J52" s="61">
        <f t="shared" si="14"/>
        <v>164394.18</v>
      </c>
      <c r="K52" s="6">
        <v>164394.18</v>
      </c>
      <c r="L52" s="160" t="s">
        <v>26</v>
      </c>
      <c r="M52" s="160" t="s">
        <v>26</v>
      </c>
      <c r="N52" s="6">
        <f t="shared" si="15"/>
        <v>1643941.7999999998</v>
      </c>
      <c r="O52" s="6">
        <f>G52*K52</f>
        <v>1643941.7999999998</v>
      </c>
      <c r="P52" s="160" t="s">
        <v>26</v>
      </c>
      <c r="Q52" s="160"/>
      <c r="R52" s="160" t="s">
        <v>26</v>
      </c>
      <c r="S52" s="160"/>
      <c r="T52" s="61">
        <f t="shared" si="16"/>
        <v>3287883.5999999996</v>
      </c>
      <c r="U52" s="61">
        <f t="shared" si="17"/>
        <v>3287883.5999999996</v>
      </c>
    </row>
    <row r="53" spans="1:31" x14ac:dyDescent="0.25">
      <c r="A53" s="234"/>
      <c r="B53" s="291"/>
      <c r="C53" s="287" t="s">
        <v>29</v>
      </c>
      <c r="D53" s="189" t="s">
        <v>24</v>
      </c>
      <c r="E53" s="160">
        <v>1</v>
      </c>
      <c r="F53" s="160">
        <v>1</v>
      </c>
      <c r="G53" s="160">
        <v>1</v>
      </c>
      <c r="H53" s="160">
        <v>1</v>
      </c>
      <c r="I53" s="160">
        <v>1</v>
      </c>
      <c r="J53" s="61">
        <f t="shared" si="14"/>
        <v>196302.28</v>
      </c>
      <c r="K53" s="6">
        <v>196302.28</v>
      </c>
      <c r="L53" s="160" t="s">
        <v>26</v>
      </c>
      <c r="M53" s="160" t="s">
        <v>26</v>
      </c>
      <c r="N53" s="6">
        <f t="shared" si="15"/>
        <v>196302.28</v>
      </c>
      <c r="O53" s="6">
        <f>G53*K53</f>
        <v>196302.28</v>
      </c>
      <c r="P53" s="160" t="s">
        <v>26</v>
      </c>
      <c r="Q53" s="160"/>
      <c r="R53" s="160" t="s">
        <v>26</v>
      </c>
      <c r="S53" s="160"/>
      <c r="T53" s="61">
        <f t="shared" si="16"/>
        <v>196302.28</v>
      </c>
      <c r="U53" s="61">
        <f t="shared" si="17"/>
        <v>196302.28</v>
      </c>
    </row>
    <row r="54" spans="1:31" x14ac:dyDescent="0.25">
      <c r="A54" s="234"/>
      <c r="B54" s="291"/>
      <c r="C54" s="287" t="s">
        <v>30</v>
      </c>
      <c r="D54" s="189" t="s">
        <v>24</v>
      </c>
      <c r="E54" s="160">
        <v>15</v>
      </c>
      <c r="F54" s="160">
        <f>15+2</f>
        <v>17</v>
      </c>
      <c r="G54" s="160">
        <f>17-4</f>
        <v>13</v>
      </c>
      <c r="H54" s="160">
        <v>15</v>
      </c>
      <c r="I54" s="160">
        <v>15</v>
      </c>
      <c r="J54" s="61">
        <f t="shared" si="14"/>
        <v>162574.21</v>
      </c>
      <c r="K54" s="61">
        <v>162574.21</v>
      </c>
      <c r="L54" s="160" t="s">
        <v>26</v>
      </c>
      <c r="M54" s="160" t="s">
        <v>26</v>
      </c>
      <c r="N54" s="6">
        <f>O54</f>
        <v>2113464.73</v>
      </c>
      <c r="O54" s="6">
        <f t="shared" ref="O54:O58" si="18">G54*K54</f>
        <v>2113464.73</v>
      </c>
      <c r="P54" s="160" t="s">
        <v>26</v>
      </c>
      <c r="Q54" s="160"/>
      <c r="R54" s="160" t="s">
        <v>26</v>
      </c>
      <c r="S54" s="160"/>
      <c r="T54" s="61">
        <f t="shared" si="16"/>
        <v>2438613.15</v>
      </c>
      <c r="U54" s="61">
        <f t="shared" si="17"/>
        <v>2438613.15</v>
      </c>
    </row>
    <row r="55" spans="1:31" x14ac:dyDescent="0.25">
      <c r="A55" s="234"/>
      <c r="B55" s="291"/>
      <c r="C55" s="287" t="s">
        <v>31</v>
      </c>
      <c r="D55" s="189" t="s">
        <v>24</v>
      </c>
      <c r="E55" s="160">
        <v>0</v>
      </c>
      <c r="F55" s="160">
        <v>1</v>
      </c>
      <c r="G55" s="160">
        <v>1</v>
      </c>
      <c r="H55" s="160">
        <v>0</v>
      </c>
      <c r="I55" s="160">
        <v>0</v>
      </c>
      <c r="J55" s="61">
        <f t="shared" si="14"/>
        <v>180348.22</v>
      </c>
      <c r="K55" s="61">
        <v>180348.22</v>
      </c>
      <c r="L55" s="160" t="s">
        <v>26</v>
      </c>
      <c r="M55" s="160" t="s">
        <v>26</v>
      </c>
      <c r="N55" s="6">
        <f t="shared" si="15"/>
        <v>180348.22</v>
      </c>
      <c r="O55" s="6">
        <f t="shared" si="18"/>
        <v>180348.22</v>
      </c>
      <c r="P55" s="160" t="s">
        <v>26</v>
      </c>
      <c r="Q55" s="160"/>
      <c r="R55" s="160" t="s">
        <v>26</v>
      </c>
      <c r="S55" s="160"/>
      <c r="T55" s="61">
        <f t="shared" si="16"/>
        <v>0</v>
      </c>
      <c r="U55" s="61">
        <f t="shared" si="17"/>
        <v>0</v>
      </c>
    </row>
    <row r="56" spans="1:31" x14ac:dyDescent="0.25">
      <c r="A56" s="234"/>
      <c r="B56" s="291"/>
      <c r="C56" s="287" t="s">
        <v>33</v>
      </c>
      <c r="D56" s="189" t="s">
        <v>24</v>
      </c>
      <c r="E56" s="160">
        <f>0</f>
        <v>0</v>
      </c>
      <c r="F56" s="160">
        <f>0</f>
        <v>0</v>
      </c>
      <c r="G56" s="160">
        <v>0</v>
      </c>
      <c r="H56" s="160">
        <f>0</f>
        <v>0</v>
      </c>
      <c r="I56" s="160">
        <f>0</f>
        <v>0</v>
      </c>
      <c r="J56" s="61">
        <f t="shared" si="14"/>
        <v>202178.64</v>
      </c>
      <c r="K56" s="61">
        <v>202178.64</v>
      </c>
      <c r="L56" s="160" t="s">
        <v>26</v>
      </c>
      <c r="M56" s="160" t="s">
        <v>26</v>
      </c>
      <c r="N56" s="6">
        <f t="shared" si="15"/>
        <v>0</v>
      </c>
      <c r="O56" s="6">
        <f t="shared" si="18"/>
        <v>0</v>
      </c>
      <c r="P56" s="160" t="s">
        <v>26</v>
      </c>
      <c r="Q56" s="160"/>
      <c r="R56" s="160" t="s">
        <v>26</v>
      </c>
      <c r="S56" s="160"/>
      <c r="T56" s="61">
        <f t="shared" si="16"/>
        <v>0</v>
      </c>
      <c r="U56" s="61">
        <f t="shared" si="17"/>
        <v>0</v>
      </c>
    </row>
    <row r="57" spans="1:31" x14ac:dyDescent="0.25">
      <c r="A57" s="234"/>
      <c r="B57" s="291"/>
      <c r="C57" s="287" t="s">
        <v>52</v>
      </c>
      <c r="D57" s="189" t="s">
        <v>24</v>
      </c>
      <c r="E57" s="160">
        <v>8</v>
      </c>
      <c r="F57" s="160">
        <f>8-1</f>
        <v>7</v>
      </c>
      <c r="G57" s="160">
        <v>7</v>
      </c>
      <c r="H57" s="160">
        <v>8</v>
      </c>
      <c r="I57" s="160">
        <v>8</v>
      </c>
      <c r="J57" s="61">
        <f t="shared" si="14"/>
        <v>343079.52</v>
      </c>
      <c r="K57" s="61">
        <v>343079.52</v>
      </c>
      <c r="L57" s="160" t="s">
        <v>26</v>
      </c>
      <c r="M57" s="160" t="s">
        <v>26</v>
      </c>
      <c r="N57" s="6">
        <f t="shared" si="15"/>
        <v>2401556.64</v>
      </c>
      <c r="O57" s="6">
        <f t="shared" si="18"/>
        <v>2401556.64</v>
      </c>
      <c r="P57" s="160"/>
      <c r="Q57" s="160"/>
      <c r="R57" s="160"/>
      <c r="S57" s="160"/>
      <c r="T57" s="61">
        <f t="shared" si="16"/>
        <v>2744636.16</v>
      </c>
      <c r="U57" s="61">
        <f t="shared" si="17"/>
        <v>2744636.16</v>
      </c>
    </row>
    <row r="58" spans="1:31" x14ac:dyDescent="0.25">
      <c r="A58" s="234"/>
      <c r="B58" s="291"/>
      <c r="C58" s="287" t="s">
        <v>34</v>
      </c>
      <c r="D58" s="189" t="s">
        <v>24</v>
      </c>
      <c r="E58" s="160"/>
      <c r="F58" s="160"/>
      <c r="G58" s="160"/>
      <c r="H58" s="160"/>
      <c r="I58" s="160"/>
      <c r="J58" s="61">
        <f t="shared" si="14"/>
        <v>146900.85999999999</v>
      </c>
      <c r="K58" s="61">
        <v>146900.85999999999</v>
      </c>
      <c r="L58" s="160" t="s">
        <v>26</v>
      </c>
      <c r="M58" s="160" t="s">
        <v>26</v>
      </c>
      <c r="N58" s="6">
        <f t="shared" si="15"/>
        <v>0</v>
      </c>
      <c r="O58" s="6">
        <f t="shared" si="18"/>
        <v>0</v>
      </c>
      <c r="P58" s="160" t="s">
        <v>26</v>
      </c>
      <c r="Q58" s="160"/>
      <c r="R58" s="160" t="s">
        <v>26</v>
      </c>
      <c r="S58" s="160"/>
      <c r="T58" s="61">
        <f t="shared" si="16"/>
        <v>0</v>
      </c>
      <c r="U58" s="61">
        <f t="shared" si="17"/>
        <v>0</v>
      </c>
    </row>
    <row r="59" spans="1:31" ht="82.9" customHeight="1" x14ac:dyDescent="0.25">
      <c r="A59" s="234"/>
      <c r="B59" s="291"/>
      <c r="C59" s="287" t="s">
        <v>35</v>
      </c>
      <c r="D59" s="37" t="s">
        <v>24</v>
      </c>
      <c r="E59" s="160">
        <v>2</v>
      </c>
      <c r="F59" s="160">
        <f>2+3</f>
        <v>5</v>
      </c>
      <c r="G59" s="160">
        <v>6</v>
      </c>
      <c r="H59" s="160">
        <v>3</v>
      </c>
      <c r="I59" s="160">
        <v>3</v>
      </c>
      <c r="J59" s="61">
        <f>SUM(K59:M59)</f>
        <v>490346.47</v>
      </c>
      <c r="K59" s="61">
        <f>445116.57+2198.86</f>
        <v>447315.43</v>
      </c>
      <c r="L59" s="6">
        <v>13836.97</v>
      </c>
      <c r="M59" s="6">
        <v>29194.07</v>
      </c>
      <c r="N59" s="6">
        <f>SUM(O59:R59)</f>
        <v>2942078.82</v>
      </c>
      <c r="O59" s="6">
        <f>G59*K59</f>
        <v>2683892.58</v>
      </c>
      <c r="P59" s="6">
        <f>G59*L59</f>
        <v>83021.819999999992</v>
      </c>
      <c r="Q59" s="6"/>
      <c r="R59" s="61">
        <f>G59*M59</f>
        <v>175164.41999999998</v>
      </c>
      <c r="S59" s="61"/>
      <c r="T59" s="61">
        <f>W59</f>
        <v>1471039.41</v>
      </c>
      <c r="U59" s="61">
        <f>AB59</f>
        <v>1471039.41</v>
      </c>
      <c r="W59" s="61">
        <f>SUM(X59:AA59)</f>
        <v>1471039.41</v>
      </c>
      <c r="X59" s="61">
        <f>H59*K59</f>
        <v>1341946.29</v>
      </c>
      <c r="Y59" s="6">
        <f>H59*L59</f>
        <v>41510.909999999996</v>
      </c>
      <c r="Z59" s="61">
        <f>H59*M59</f>
        <v>87582.209999999992</v>
      </c>
      <c r="AB59" s="61">
        <f>SUM(AC59:AF59)</f>
        <v>1471039.41</v>
      </c>
      <c r="AC59" s="61">
        <f>I59*K59</f>
        <v>1341946.29</v>
      </c>
      <c r="AD59" s="6">
        <f>I59*L59</f>
        <v>41510.909999999996</v>
      </c>
      <c r="AE59" s="61">
        <f>I59*M59</f>
        <v>87582.209999999992</v>
      </c>
    </row>
    <row r="60" spans="1:31" ht="19.5" customHeight="1" x14ac:dyDescent="0.25">
      <c r="A60" s="234"/>
      <c r="B60" s="291"/>
      <c r="C60" s="159" t="s">
        <v>36</v>
      </c>
      <c r="D60" s="189" t="s">
        <v>37</v>
      </c>
      <c r="E60" s="160">
        <v>11</v>
      </c>
      <c r="F60" s="160">
        <v>9</v>
      </c>
      <c r="G60" s="160">
        <v>9</v>
      </c>
      <c r="H60" s="160">
        <v>11</v>
      </c>
      <c r="I60" s="160">
        <v>11</v>
      </c>
      <c r="J60" s="61">
        <f>SUM(K60:M60)</f>
        <v>234360</v>
      </c>
      <c r="K60" s="61">
        <f>10000*1.5*1.302*12</f>
        <v>234360</v>
      </c>
      <c r="L60" s="6"/>
      <c r="M60" s="6"/>
      <c r="N60" s="6">
        <f>SUM(O60:R60)</f>
        <v>2109200</v>
      </c>
      <c r="O60" s="6">
        <f>G60*K60-40</f>
        <v>2109200</v>
      </c>
      <c r="P60" s="6"/>
      <c r="Q60" s="6"/>
      <c r="R60" s="61"/>
      <c r="S60" s="61"/>
      <c r="T60" s="61">
        <f>H60*K60-2577960</f>
        <v>0</v>
      </c>
      <c r="U60" s="61">
        <f>I60*K60-2577960</f>
        <v>0</v>
      </c>
    </row>
    <row r="61" spans="1:31" ht="24" customHeight="1" x14ac:dyDescent="0.25">
      <c r="A61" s="234"/>
      <c r="B61" s="292"/>
      <c r="C61" s="159" t="s">
        <v>38</v>
      </c>
      <c r="D61" s="189"/>
      <c r="E61" s="193">
        <f>E49+E59</f>
        <v>234</v>
      </c>
      <c r="F61" s="193">
        <f>F49+F59</f>
        <v>204</v>
      </c>
      <c r="G61" s="193">
        <f>G49+G59</f>
        <v>205</v>
      </c>
      <c r="H61" s="193">
        <f>H49+H59</f>
        <v>248</v>
      </c>
      <c r="I61" s="193">
        <f>I49+I59</f>
        <v>248</v>
      </c>
      <c r="J61" s="6" t="s">
        <v>26</v>
      </c>
      <c r="K61" s="6" t="s">
        <v>26</v>
      </c>
      <c r="L61" s="6" t="s">
        <v>26</v>
      </c>
      <c r="M61" s="6" t="s">
        <v>26</v>
      </c>
      <c r="N61" s="161">
        <f>SUM(N49:N60)</f>
        <v>27977754.41</v>
      </c>
      <c r="O61" s="161">
        <f t="shared" ref="O61:U61" si="19">SUM(O49:O60)</f>
        <v>19156391.210000001</v>
      </c>
      <c r="P61" s="161">
        <f t="shared" si="19"/>
        <v>2836578.8499999996</v>
      </c>
      <c r="Q61" s="161">
        <f t="shared" si="19"/>
        <v>0</v>
      </c>
      <c r="R61" s="161">
        <f>SUM(R49:R60)</f>
        <v>5984784.3499999996</v>
      </c>
      <c r="S61" s="161">
        <f t="shared" si="19"/>
        <v>0</v>
      </c>
      <c r="T61" s="161">
        <f t="shared" si="19"/>
        <v>30283866.18</v>
      </c>
      <c r="U61" s="161">
        <f t="shared" si="19"/>
        <v>30283866.18</v>
      </c>
    </row>
    <row r="62" spans="1:31" ht="76.900000000000006" customHeight="1" x14ac:dyDescent="0.25">
      <c r="A62" s="234"/>
      <c r="B62" s="290" t="s">
        <v>624</v>
      </c>
      <c r="C62" s="285" t="s">
        <v>23</v>
      </c>
      <c r="D62" s="37" t="s">
        <v>24</v>
      </c>
      <c r="E62" s="160">
        <f>209+1</f>
        <v>210</v>
      </c>
      <c r="F62" s="160">
        <v>192</v>
      </c>
      <c r="G62" s="160">
        <f>183+6</f>
        <v>189</v>
      </c>
      <c r="H62" s="160">
        <f>280+7</f>
        <v>287</v>
      </c>
      <c r="I62" s="160">
        <f>280+7</f>
        <v>287</v>
      </c>
      <c r="J62" s="6">
        <f>SUM(K62:M62)</f>
        <v>99926.93</v>
      </c>
      <c r="K62" s="6">
        <f>54145.32+2750.57</f>
        <v>56895.89</v>
      </c>
      <c r="L62" s="6">
        <v>13836.97</v>
      </c>
      <c r="M62" s="6">
        <v>29194.07</v>
      </c>
      <c r="N62" s="6">
        <f>SUM(O62:R62)</f>
        <v>18886189.77</v>
      </c>
      <c r="O62" s="6">
        <f>G62*K62</f>
        <v>10753323.209999999</v>
      </c>
      <c r="P62" s="6">
        <f>G62*L62</f>
        <v>2615187.33</v>
      </c>
      <c r="Q62" s="6"/>
      <c r="R62" s="61">
        <f>G62*M62</f>
        <v>5517679.2299999995</v>
      </c>
      <c r="S62" s="61"/>
      <c r="T62" s="61">
        <f>W62</f>
        <v>28679028.91</v>
      </c>
      <c r="U62" s="61">
        <f>T62</f>
        <v>28679028.91</v>
      </c>
      <c r="W62" s="61">
        <f>SUM(X62:AA62)</f>
        <v>28679028.91</v>
      </c>
      <c r="X62" s="61">
        <f>H62*K62</f>
        <v>16329120.43</v>
      </c>
      <c r="Y62" s="6">
        <f>H62*L62</f>
        <v>3971210.3899999997</v>
      </c>
      <c r="Z62" s="61">
        <f>H62*M62</f>
        <v>8378698.0899999999</v>
      </c>
      <c r="AB62" s="61">
        <f>SUM(AC62:AF62)</f>
        <v>28679028.91</v>
      </c>
      <c r="AC62" s="61">
        <f>I62*K62</f>
        <v>16329120.43</v>
      </c>
      <c r="AD62" s="6">
        <f>I62*L62</f>
        <v>3971210.3899999997</v>
      </c>
      <c r="AE62" s="61">
        <f>I62*M62</f>
        <v>8378698.0899999999</v>
      </c>
    </row>
    <row r="63" spans="1:31" ht="94.9" customHeight="1" x14ac:dyDescent="0.25">
      <c r="A63" s="234"/>
      <c r="B63" s="291"/>
      <c r="C63" s="285" t="s">
        <v>63</v>
      </c>
      <c r="D63" s="37" t="s">
        <v>24</v>
      </c>
      <c r="E63" s="160">
        <f>44-1</f>
        <v>43</v>
      </c>
      <c r="F63" s="160">
        <v>94</v>
      </c>
      <c r="G63" s="160">
        <v>93</v>
      </c>
      <c r="H63" s="160">
        <v>89</v>
      </c>
      <c r="I63" s="160">
        <v>130</v>
      </c>
      <c r="J63" s="6">
        <f>SUM(K63:M63)</f>
        <v>105910.23000000001</v>
      </c>
      <c r="K63" s="6">
        <f>60128.62+2750.57</f>
        <v>62879.19</v>
      </c>
      <c r="L63" s="6">
        <v>13836.97</v>
      </c>
      <c r="M63" s="6">
        <v>29194.07</v>
      </c>
      <c r="N63" s="6">
        <f>SUM(O63:R63)</f>
        <v>9849651.3900000006</v>
      </c>
      <c r="O63" s="6">
        <f>G63*K63</f>
        <v>5847764.6699999999</v>
      </c>
      <c r="P63" s="6">
        <f>G63*L63</f>
        <v>1286838.21</v>
      </c>
      <c r="Q63" s="6"/>
      <c r="R63" s="61">
        <f>G63*M63</f>
        <v>2715048.51</v>
      </c>
      <c r="S63" s="61"/>
      <c r="T63" s="61">
        <f>W63</f>
        <v>9426010.4700000007</v>
      </c>
      <c r="U63" s="61">
        <f>AB63</f>
        <v>13768329.9</v>
      </c>
      <c r="W63" s="61">
        <f>SUM(X63:AA63)</f>
        <v>9426010.4700000007</v>
      </c>
      <c r="X63" s="61">
        <f>H63*K63</f>
        <v>5596247.9100000001</v>
      </c>
      <c r="Y63" s="6">
        <f>H63*L63</f>
        <v>1231490.3299999998</v>
      </c>
      <c r="Z63" s="61">
        <f>H63*M63</f>
        <v>2598272.23</v>
      </c>
      <c r="AB63" s="61">
        <f>SUM(AC63:AF63)</f>
        <v>13768329.9</v>
      </c>
      <c r="AC63" s="61">
        <f>I63*K63</f>
        <v>8174294.7000000002</v>
      </c>
      <c r="AD63" s="6">
        <f>I63*L63</f>
        <v>1798806.0999999999</v>
      </c>
      <c r="AE63" s="61">
        <f>I63*M63</f>
        <v>3795229.1</v>
      </c>
    </row>
    <row r="64" spans="1:31" ht="90" x14ac:dyDescent="0.25">
      <c r="A64" s="234"/>
      <c r="B64" s="291"/>
      <c r="C64" s="287" t="s">
        <v>39</v>
      </c>
      <c r="D64" s="37" t="s">
        <v>24</v>
      </c>
      <c r="E64" s="160" t="s">
        <v>26</v>
      </c>
      <c r="F64" s="160" t="s">
        <v>26</v>
      </c>
      <c r="G64" s="160" t="s">
        <v>26</v>
      </c>
      <c r="H64" s="160" t="s">
        <v>26</v>
      </c>
      <c r="I64" s="160" t="s">
        <v>26</v>
      </c>
      <c r="J64" s="160" t="s">
        <v>26</v>
      </c>
      <c r="K64" s="160"/>
      <c r="L64" s="160" t="s">
        <v>26</v>
      </c>
      <c r="M64" s="160" t="s">
        <v>26</v>
      </c>
      <c r="N64" s="6"/>
      <c r="O64" s="6"/>
      <c r="P64" s="160" t="s">
        <v>26</v>
      </c>
      <c r="Q64" s="160"/>
      <c r="R64" s="160" t="s">
        <v>26</v>
      </c>
      <c r="S64" s="160"/>
      <c r="T64" s="61"/>
      <c r="U64" s="61"/>
    </row>
    <row r="65" spans="1:31" x14ac:dyDescent="0.25">
      <c r="A65" s="234"/>
      <c r="B65" s="291"/>
      <c r="C65" s="189" t="s">
        <v>29</v>
      </c>
      <c r="D65" s="37" t="s">
        <v>24</v>
      </c>
      <c r="E65" s="160">
        <v>1</v>
      </c>
      <c r="F65" s="160">
        <f>1-1</f>
        <v>0</v>
      </c>
      <c r="G65" s="160">
        <v>0</v>
      </c>
      <c r="H65" s="160">
        <v>0</v>
      </c>
      <c r="I65" s="160">
        <v>0</v>
      </c>
      <c r="J65" s="61">
        <f t="shared" ref="J65:J70" si="20">K65</f>
        <v>119806.54</v>
      </c>
      <c r="K65" s="6">
        <v>119806.54</v>
      </c>
      <c r="L65" s="160" t="s">
        <v>26</v>
      </c>
      <c r="M65" s="160" t="s">
        <v>26</v>
      </c>
      <c r="N65" s="6">
        <f t="shared" ref="N65:N70" si="21">O65</f>
        <v>0</v>
      </c>
      <c r="O65" s="6">
        <f>G65*K65</f>
        <v>0</v>
      </c>
      <c r="P65" s="160"/>
      <c r="Q65" s="160"/>
      <c r="R65" s="160"/>
      <c r="S65" s="160"/>
      <c r="T65" s="61">
        <f t="shared" ref="T65:T70" si="22">H65*K65</f>
        <v>0</v>
      </c>
      <c r="U65" s="61">
        <f t="shared" ref="U65:U70" si="23">I65*K65</f>
        <v>0</v>
      </c>
    </row>
    <row r="66" spans="1:31" x14ac:dyDescent="0.25">
      <c r="A66" s="234"/>
      <c r="B66" s="291"/>
      <c r="C66" s="189" t="s">
        <v>31</v>
      </c>
      <c r="D66" s="37" t="s">
        <v>24</v>
      </c>
      <c r="E66" s="160">
        <v>1</v>
      </c>
      <c r="F66" s="160">
        <f>1-1</f>
        <v>0</v>
      </c>
      <c r="G66" s="160">
        <f>1-1</f>
        <v>0</v>
      </c>
      <c r="H66" s="160">
        <v>1</v>
      </c>
      <c r="I66" s="160">
        <v>1</v>
      </c>
      <c r="J66" s="61">
        <f t="shared" si="20"/>
        <v>310708.38</v>
      </c>
      <c r="K66" s="6">
        <v>310708.38</v>
      </c>
      <c r="L66" s="160" t="s">
        <v>26</v>
      </c>
      <c r="M66" s="160" t="s">
        <v>26</v>
      </c>
      <c r="N66" s="6">
        <f t="shared" si="21"/>
        <v>0</v>
      </c>
      <c r="O66" s="6">
        <f t="shared" ref="O66:O70" si="24">G66*K66</f>
        <v>0</v>
      </c>
      <c r="P66" s="160"/>
      <c r="Q66" s="160"/>
      <c r="R66" s="160"/>
      <c r="S66" s="160"/>
      <c r="T66" s="61">
        <f t="shared" si="22"/>
        <v>310708.38</v>
      </c>
      <c r="U66" s="61">
        <f t="shared" si="23"/>
        <v>310708.38</v>
      </c>
    </row>
    <row r="67" spans="1:31" x14ac:dyDescent="0.25">
      <c r="A67" s="234"/>
      <c r="B67" s="291"/>
      <c r="C67" s="189" t="s">
        <v>32</v>
      </c>
      <c r="D67" s="37" t="s">
        <v>24</v>
      </c>
      <c r="E67" s="165"/>
      <c r="F67" s="165"/>
      <c r="G67" s="160">
        <v>0</v>
      </c>
      <c r="H67" s="165">
        <v>0</v>
      </c>
      <c r="I67" s="165">
        <v>0</v>
      </c>
      <c r="J67" s="61">
        <f t="shared" si="20"/>
        <v>223221.7</v>
      </c>
      <c r="K67" s="61">
        <v>223221.7</v>
      </c>
      <c r="L67" s="160" t="s">
        <v>26</v>
      </c>
      <c r="M67" s="160" t="s">
        <v>26</v>
      </c>
      <c r="N67" s="6">
        <f t="shared" si="21"/>
        <v>0</v>
      </c>
      <c r="O67" s="6">
        <f t="shared" si="24"/>
        <v>0</v>
      </c>
      <c r="P67" s="160" t="s">
        <v>26</v>
      </c>
      <c r="Q67" s="160"/>
      <c r="R67" s="160" t="s">
        <v>26</v>
      </c>
      <c r="S67" s="160"/>
      <c r="T67" s="61">
        <f t="shared" si="22"/>
        <v>0</v>
      </c>
      <c r="U67" s="61">
        <f t="shared" si="23"/>
        <v>0</v>
      </c>
    </row>
    <row r="68" spans="1:31" x14ac:dyDescent="0.25">
      <c r="A68" s="234"/>
      <c r="B68" s="291"/>
      <c r="C68" s="189" t="s">
        <v>33</v>
      </c>
      <c r="D68" s="37" t="s">
        <v>24</v>
      </c>
      <c r="E68" s="165">
        <v>2</v>
      </c>
      <c r="F68" s="165">
        <v>2</v>
      </c>
      <c r="G68" s="160">
        <v>2</v>
      </c>
      <c r="H68" s="165">
        <v>2</v>
      </c>
      <c r="I68" s="165">
        <v>2</v>
      </c>
      <c r="J68" s="61">
        <f t="shared" si="20"/>
        <v>26113.16</v>
      </c>
      <c r="K68" s="61">
        <v>26113.16</v>
      </c>
      <c r="L68" s="160" t="s">
        <v>26</v>
      </c>
      <c r="M68" s="160" t="s">
        <v>26</v>
      </c>
      <c r="N68" s="6">
        <f t="shared" si="21"/>
        <v>52226.32</v>
      </c>
      <c r="O68" s="6">
        <f t="shared" si="24"/>
        <v>52226.32</v>
      </c>
      <c r="P68" s="160" t="s">
        <v>26</v>
      </c>
      <c r="Q68" s="160"/>
      <c r="R68" s="160" t="s">
        <v>26</v>
      </c>
      <c r="S68" s="160"/>
      <c r="T68" s="61">
        <f t="shared" si="22"/>
        <v>52226.32</v>
      </c>
      <c r="U68" s="61">
        <f t="shared" si="23"/>
        <v>52226.32</v>
      </c>
    </row>
    <row r="69" spans="1:31" x14ac:dyDescent="0.25">
      <c r="A69" s="234"/>
      <c r="B69" s="291"/>
      <c r="C69" s="189" t="s">
        <v>52</v>
      </c>
      <c r="D69" s="37" t="s">
        <v>24</v>
      </c>
      <c r="E69" s="165">
        <v>3</v>
      </c>
      <c r="F69" s="165">
        <v>3</v>
      </c>
      <c r="G69" s="160">
        <v>3</v>
      </c>
      <c r="H69" s="165">
        <v>3</v>
      </c>
      <c r="I69" s="165">
        <v>3</v>
      </c>
      <c r="J69" s="61">
        <f t="shared" si="20"/>
        <v>425676.93</v>
      </c>
      <c r="K69" s="61">
        <v>425676.93</v>
      </c>
      <c r="L69" s="160"/>
      <c r="M69" s="160"/>
      <c r="N69" s="6">
        <f t="shared" si="21"/>
        <v>1277030.79</v>
      </c>
      <c r="O69" s="6">
        <f t="shared" si="24"/>
        <v>1277030.79</v>
      </c>
      <c r="P69" s="160"/>
      <c r="Q69" s="160"/>
      <c r="R69" s="160"/>
      <c r="S69" s="160"/>
      <c r="T69" s="61">
        <f t="shared" si="22"/>
        <v>1277030.79</v>
      </c>
      <c r="U69" s="61">
        <f t="shared" si="23"/>
        <v>1277030.79</v>
      </c>
    </row>
    <row r="70" spans="1:31" x14ac:dyDescent="0.25">
      <c r="A70" s="234"/>
      <c r="B70" s="291"/>
      <c r="C70" s="189" t="s">
        <v>34</v>
      </c>
      <c r="D70" s="37" t="s">
        <v>24</v>
      </c>
      <c r="E70" s="165">
        <f>2-1</f>
        <v>1</v>
      </c>
      <c r="F70" s="165">
        <f>2+2-3</f>
        <v>1</v>
      </c>
      <c r="G70" s="160">
        <v>1</v>
      </c>
      <c r="H70" s="165">
        <v>1</v>
      </c>
      <c r="I70" s="165">
        <v>1</v>
      </c>
      <c r="J70" s="61">
        <f t="shared" si="20"/>
        <v>18697.54</v>
      </c>
      <c r="K70" s="61">
        <v>18697.54</v>
      </c>
      <c r="L70" s="160" t="s">
        <v>26</v>
      </c>
      <c r="M70" s="160" t="s">
        <v>26</v>
      </c>
      <c r="N70" s="6">
        <f t="shared" si="21"/>
        <v>18697.54</v>
      </c>
      <c r="O70" s="6">
        <f t="shared" si="24"/>
        <v>18697.54</v>
      </c>
      <c r="P70" s="160" t="s">
        <v>26</v>
      </c>
      <c r="Q70" s="160"/>
      <c r="R70" s="160" t="s">
        <v>26</v>
      </c>
      <c r="S70" s="160"/>
      <c r="T70" s="61">
        <f t="shared" si="22"/>
        <v>18697.54</v>
      </c>
      <c r="U70" s="61">
        <f t="shared" si="23"/>
        <v>18697.54</v>
      </c>
    </row>
    <row r="71" spans="1:31" ht="82.9" customHeight="1" x14ac:dyDescent="0.25">
      <c r="A71" s="234"/>
      <c r="B71" s="292"/>
      <c r="C71" s="76" t="s">
        <v>35</v>
      </c>
      <c r="D71" s="37" t="s">
        <v>24</v>
      </c>
      <c r="E71" s="165">
        <f>3-1</f>
        <v>2</v>
      </c>
      <c r="F71" s="165">
        <f>3+2</f>
        <v>5</v>
      </c>
      <c r="G71" s="160">
        <v>6</v>
      </c>
      <c r="H71" s="165">
        <v>1</v>
      </c>
      <c r="I71" s="165">
        <v>1</v>
      </c>
      <c r="J71" s="61">
        <f>SUM(K71:M71)</f>
        <v>547511.42999999993</v>
      </c>
      <c r="K71" s="61">
        <f>501729.82+2750.57</f>
        <v>504480.39</v>
      </c>
      <c r="L71" s="6">
        <v>13836.97</v>
      </c>
      <c r="M71" s="6">
        <v>29194.07</v>
      </c>
      <c r="N71" s="6">
        <f>SUM(O71:R71)</f>
        <v>3285068.5799999996</v>
      </c>
      <c r="O71" s="6">
        <f>G71*K71</f>
        <v>3026882.34</v>
      </c>
      <c r="P71" s="6">
        <f>G71*L71</f>
        <v>83021.819999999992</v>
      </c>
      <c r="Q71" s="61"/>
      <c r="R71" s="61">
        <f>G71*M71</f>
        <v>175164.41999999998</v>
      </c>
      <c r="S71" s="61"/>
      <c r="T71" s="61">
        <f>W71</f>
        <v>547511.42999999993</v>
      </c>
      <c r="U71" s="61">
        <f>AB71</f>
        <v>547511.42999999993</v>
      </c>
      <c r="W71" s="61">
        <f>SUM(X71:AA71)</f>
        <v>547511.42999999993</v>
      </c>
      <c r="X71" s="61">
        <f>H71*K71</f>
        <v>504480.39</v>
      </c>
      <c r="Y71" s="6">
        <f>H71*L71</f>
        <v>13836.97</v>
      </c>
      <c r="Z71" s="61">
        <f>H71*M71</f>
        <v>29194.07</v>
      </c>
      <c r="AB71" s="61">
        <f>SUM(AC71:AF71)</f>
        <v>547511.42999999993</v>
      </c>
      <c r="AC71" s="61">
        <f>I71*K71</f>
        <v>504480.39</v>
      </c>
      <c r="AD71" s="6">
        <f>I71*L71</f>
        <v>13836.97</v>
      </c>
      <c r="AE71" s="61">
        <f>I71*M71</f>
        <v>29194.07</v>
      </c>
    </row>
    <row r="72" spans="1:31" ht="17.45" customHeight="1" x14ac:dyDescent="0.25">
      <c r="A72" s="234"/>
      <c r="B72" s="293"/>
      <c r="C72" s="297" t="s">
        <v>36</v>
      </c>
      <c r="D72" s="37" t="s">
        <v>37</v>
      </c>
      <c r="E72" s="165">
        <v>12</v>
      </c>
      <c r="F72" s="165">
        <v>12</v>
      </c>
      <c r="G72" s="160">
        <v>12</v>
      </c>
      <c r="H72" s="165">
        <v>12</v>
      </c>
      <c r="I72" s="165">
        <v>12</v>
      </c>
      <c r="J72" s="61">
        <f>SUM(K72:M72)</f>
        <v>234360</v>
      </c>
      <c r="K72" s="61">
        <f>10000*1.5*1.302*12</f>
        <v>234360</v>
      </c>
      <c r="L72" s="6"/>
      <c r="M72" s="6"/>
      <c r="N72" s="6">
        <f>SUM(O72:R72)</f>
        <v>2812360</v>
      </c>
      <c r="O72" s="6">
        <f>G72*K72+40</f>
        <v>2812360</v>
      </c>
      <c r="P72" s="6"/>
      <c r="Q72" s="61"/>
      <c r="R72" s="61"/>
      <c r="S72" s="61"/>
      <c r="T72" s="61">
        <f>H72*K72-2812320</f>
        <v>0</v>
      </c>
      <c r="U72" s="61">
        <f>I72*K72-2812320</f>
        <v>0</v>
      </c>
    </row>
    <row r="73" spans="1:31" ht="24" customHeight="1" x14ac:dyDescent="0.25">
      <c r="A73" s="234"/>
      <c r="B73" s="293"/>
      <c r="C73" s="297" t="s">
        <v>38</v>
      </c>
      <c r="D73" s="37"/>
      <c r="E73" s="194">
        <f>E62+E63+E71</f>
        <v>255</v>
      </c>
      <c r="F73" s="194">
        <f>F62+F63+F71</f>
        <v>291</v>
      </c>
      <c r="G73" s="194">
        <f>G62+G63+G71</f>
        <v>288</v>
      </c>
      <c r="H73" s="194">
        <f>H62+H63+H71</f>
        <v>377</v>
      </c>
      <c r="I73" s="194">
        <f>I62+I63+I71</f>
        <v>418</v>
      </c>
      <c r="J73" s="61" t="s">
        <v>26</v>
      </c>
      <c r="K73" s="61" t="s">
        <v>26</v>
      </c>
      <c r="L73" s="61" t="s">
        <v>26</v>
      </c>
      <c r="M73" s="61" t="s">
        <v>26</v>
      </c>
      <c r="N73" s="62">
        <f>SUM(N62:N72)</f>
        <v>36181224.390000001</v>
      </c>
      <c r="O73" s="62">
        <f t="shared" ref="O73:U73" si="25">SUM(O62:O72)</f>
        <v>23788284.869999997</v>
      </c>
      <c r="P73" s="62">
        <f t="shared" si="25"/>
        <v>3985047.36</v>
      </c>
      <c r="Q73" s="62">
        <f t="shared" si="25"/>
        <v>0</v>
      </c>
      <c r="R73" s="62">
        <f>SUM(R62:R72)</f>
        <v>8407892.1600000001</v>
      </c>
      <c r="S73" s="62">
        <f t="shared" si="25"/>
        <v>0</v>
      </c>
      <c r="T73" s="62">
        <f t="shared" si="25"/>
        <v>40311213.840000004</v>
      </c>
      <c r="U73" s="62">
        <f t="shared" si="25"/>
        <v>44653533.270000003</v>
      </c>
    </row>
    <row r="74" spans="1:31" ht="90" x14ac:dyDescent="0.25">
      <c r="A74" s="234"/>
      <c r="B74" s="290" t="s">
        <v>625</v>
      </c>
      <c r="C74" s="285" t="s">
        <v>23</v>
      </c>
      <c r="D74" s="37" t="s">
        <v>24</v>
      </c>
      <c r="E74" s="165">
        <v>37</v>
      </c>
      <c r="F74" s="165">
        <v>38</v>
      </c>
      <c r="G74" s="160">
        <v>38</v>
      </c>
      <c r="H74" s="165">
        <v>41</v>
      </c>
      <c r="I74" s="165">
        <v>41</v>
      </c>
      <c r="J74" s="6">
        <f>SUM(K74:M74)</f>
        <v>115902.54999999999</v>
      </c>
      <c r="K74" s="6">
        <f>70145.11+2726.4</f>
        <v>72871.509999999995</v>
      </c>
      <c r="L74" s="6">
        <v>13836.97</v>
      </c>
      <c r="M74" s="6">
        <v>29194.07</v>
      </c>
      <c r="N74" s="61">
        <f>SUM(O74:R74)</f>
        <v>4404296.8999999994</v>
      </c>
      <c r="O74" s="61">
        <f>G74*K74</f>
        <v>2769117.38</v>
      </c>
      <c r="P74" s="6">
        <f>G74*L74</f>
        <v>525804.86</v>
      </c>
      <c r="Q74" s="61"/>
      <c r="R74" s="61">
        <f>G74*M74</f>
        <v>1109374.6599999999</v>
      </c>
      <c r="S74" s="61"/>
      <c r="T74" s="61">
        <f>W74</f>
        <v>4752004.55</v>
      </c>
      <c r="U74" s="61">
        <f>AB74</f>
        <v>4752004.55</v>
      </c>
      <c r="W74" s="61">
        <f>SUM(X74:AA74)</f>
        <v>4752004.55</v>
      </c>
      <c r="X74" s="61">
        <f>H74*K74</f>
        <v>2987731.9099999997</v>
      </c>
      <c r="Y74" s="6">
        <f>H74*L74</f>
        <v>567315.77</v>
      </c>
      <c r="Z74" s="61">
        <f>H74*M74</f>
        <v>1196956.8699999999</v>
      </c>
      <c r="AB74" s="61">
        <f>SUM(AC74:AF74)</f>
        <v>4752004.55</v>
      </c>
      <c r="AC74" s="61">
        <f>I74*K74</f>
        <v>2987731.9099999997</v>
      </c>
      <c r="AD74" s="6">
        <f>I74*L74</f>
        <v>567315.77</v>
      </c>
      <c r="AE74" s="61">
        <f>I74*M74</f>
        <v>1196956.8699999999</v>
      </c>
    </row>
    <row r="75" spans="1:31" ht="90" x14ac:dyDescent="0.25">
      <c r="A75" s="234"/>
      <c r="B75" s="291"/>
      <c r="C75" s="287" t="s">
        <v>39</v>
      </c>
      <c r="D75" s="37" t="s">
        <v>24</v>
      </c>
      <c r="E75" s="160" t="s">
        <v>26</v>
      </c>
      <c r="F75" s="160" t="s">
        <v>26</v>
      </c>
      <c r="G75" s="160" t="s">
        <v>26</v>
      </c>
      <c r="H75" s="160" t="s">
        <v>26</v>
      </c>
      <c r="I75" s="160" t="s">
        <v>26</v>
      </c>
      <c r="J75" s="160" t="s">
        <v>26</v>
      </c>
      <c r="K75" s="160" t="s">
        <v>26</v>
      </c>
      <c r="L75" s="160" t="s">
        <v>26</v>
      </c>
      <c r="M75" s="160" t="s">
        <v>26</v>
      </c>
      <c r="N75" s="6"/>
      <c r="O75" s="6"/>
      <c r="P75" s="160" t="s">
        <v>26</v>
      </c>
      <c r="Q75" s="160"/>
      <c r="R75" s="160" t="s">
        <v>26</v>
      </c>
      <c r="S75" s="160"/>
      <c r="T75" s="61"/>
      <c r="U75" s="61"/>
    </row>
    <row r="76" spans="1:31" x14ac:dyDescent="0.25">
      <c r="A76" s="234"/>
      <c r="B76" s="291"/>
      <c r="C76" s="287" t="s">
        <v>34</v>
      </c>
      <c r="D76" s="37" t="s">
        <v>24</v>
      </c>
      <c r="E76" s="165"/>
      <c r="F76" s="165"/>
      <c r="G76" s="160">
        <v>0</v>
      </c>
      <c r="H76" s="165"/>
      <c r="I76" s="165"/>
      <c r="J76" s="61">
        <f>K76</f>
        <v>19898.91</v>
      </c>
      <c r="K76" s="61">
        <v>19898.91</v>
      </c>
      <c r="L76" s="160" t="s">
        <v>26</v>
      </c>
      <c r="M76" s="160" t="s">
        <v>26</v>
      </c>
      <c r="N76" s="6">
        <f>O76</f>
        <v>0</v>
      </c>
      <c r="O76" s="6">
        <f>G76*K76</f>
        <v>0</v>
      </c>
      <c r="P76" s="160" t="s">
        <v>26</v>
      </c>
      <c r="Q76" s="160"/>
      <c r="R76" s="160" t="s">
        <v>26</v>
      </c>
      <c r="S76" s="160"/>
      <c r="T76" s="61">
        <f>H76*K76</f>
        <v>0</v>
      </c>
      <c r="U76" s="61">
        <f>I76*K76</f>
        <v>0</v>
      </c>
    </row>
    <row r="77" spans="1:31" ht="82.9" customHeight="1" x14ac:dyDescent="0.25">
      <c r="A77" s="234"/>
      <c r="B77" s="292"/>
      <c r="C77" s="287" t="s">
        <v>35</v>
      </c>
      <c r="D77" s="37" t="s">
        <v>24</v>
      </c>
      <c r="E77" s="165">
        <v>0</v>
      </c>
      <c r="F77" s="165">
        <v>0</v>
      </c>
      <c r="G77" s="160">
        <v>0</v>
      </c>
      <c r="H77" s="165">
        <v>1</v>
      </c>
      <c r="I77" s="165">
        <v>1</v>
      </c>
      <c r="J77" s="61">
        <f>K77</f>
        <v>559857.20000000007</v>
      </c>
      <c r="K77" s="61">
        <f>557130.8+2726.4</f>
        <v>559857.20000000007</v>
      </c>
      <c r="L77" s="6">
        <v>13836.97</v>
      </c>
      <c r="M77" s="6">
        <v>29194.07</v>
      </c>
      <c r="N77" s="6">
        <f>SUM(O77:R77)</f>
        <v>0</v>
      </c>
      <c r="O77" s="61">
        <f>G77*K77</f>
        <v>0</v>
      </c>
      <c r="P77" s="61">
        <f>G77*L77</f>
        <v>0</v>
      </c>
      <c r="Q77" s="61"/>
      <c r="R77" s="61">
        <f>G77*M77</f>
        <v>0</v>
      </c>
      <c r="S77" s="61"/>
      <c r="T77" s="61">
        <f>W77</f>
        <v>602888.24</v>
      </c>
      <c r="U77" s="61">
        <f>AB77</f>
        <v>602888.24</v>
      </c>
      <c r="W77" s="61">
        <f>SUM(X77:AA77)</f>
        <v>602888.24</v>
      </c>
      <c r="X77" s="61">
        <f>H77*K77</f>
        <v>559857.20000000007</v>
      </c>
      <c r="Y77" s="6">
        <f>H77*L77</f>
        <v>13836.97</v>
      </c>
      <c r="Z77" s="61">
        <f>H77*M77</f>
        <v>29194.07</v>
      </c>
      <c r="AB77" s="61">
        <f>SUM(AC77:AF77)</f>
        <v>602888.24</v>
      </c>
      <c r="AC77" s="61">
        <f>I77*K77</f>
        <v>559857.20000000007</v>
      </c>
      <c r="AD77" s="6">
        <f>I77*L77</f>
        <v>13836.97</v>
      </c>
      <c r="AE77" s="61">
        <f>I77*M77</f>
        <v>29194.07</v>
      </c>
    </row>
    <row r="78" spans="1:31" ht="17.45" customHeight="1" x14ac:dyDescent="0.25">
      <c r="A78" s="234"/>
      <c r="B78" s="293"/>
      <c r="C78" s="288" t="s">
        <v>36</v>
      </c>
      <c r="D78" s="37" t="s">
        <v>37</v>
      </c>
      <c r="E78" s="165">
        <v>2</v>
      </c>
      <c r="F78" s="165">
        <v>2</v>
      </c>
      <c r="G78" s="160">
        <v>2</v>
      </c>
      <c r="H78" s="165">
        <v>2</v>
      </c>
      <c r="I78" s="165">
        <v>2</v>
      </c>
      <c r="J78" s="61">
        <f>K78</f>
        <v>234360</v>
      </c>
      <c r="K78" s="61">
        <f>10000*1.5*1.302*12</f>
        <v>234360</v>
      </c>
      <c r="L78" s="6"/>
      <c r="M78" s="6"/>
      <c r="N78" s="6">
        <f>SUM(O78:R78)</f>
        <v>468720</v>
      </c>
      <c r="O78" s="61">
        <f>G78*K78</f>
        <v>468720</v>
      </c>
      <c r="P78" s="61"/>
      <c r="Q78" s="61"/>
      <c r="R78" s="61"/>
      <c r="S78" s="61"/>
      <c r="T78" s="61">
        <f>H78*K78-468720</f>
        <v>0</v>
      </c>
      <c r="U78" s="61">
        <f>I78*K78-468720</f>
        <v>0</v>
      </c>
      <c r="X78" s="8"/>
    </row>
    <row r="79" spans="1:31" ht="29.45" customHeight="1" x14ac:dyDescent="0.25">
      <c r="A79" s="234"/>
      <c r="B79" s="293"/>
      <c r="C79" s="288" t="s">
        <v>38</v>
      </c>
      <c r="D79" s="37"/>
      <c r="E79" s="194">
        <f>E74+E77</f>
        <v>37</v>
      </c>
      <c r="F79" s="194">
        <f>F74+F77</f>
        <v>38</v>
      </c>
      <c r="G79" s="194">
        <f>G74+G77</f>
        <v>38</v>
      </c>
      <c r="H79" s="194">
        <f>H74+H77</f>
        <v>42</v>
      </c>
      <c r="I79" s="194">
        <f>I74+I77</f>
        <v>42</v>
      </c>
      <c r="J79" s="61" t="s">
        <v>26</v>
      </c>
      <c r="K79" s="61" t="s">
        <v>26</v>
      </c>
      <c r="L79" s="61" t="s">
        <v>26</v>
      </c>
      <c r="M79" s="61" t="s">
        <v>26</v>
      </c>
      <c r="N79" s="62">
        <f t="shared" ref="N79:U79" si="26">SUM(N74:N78)</f>
        <v>4873016.8999999994</v>
      </c>
      <c r="O79" s="62">
        <f t="shared" si="26"/>
        <v>3237837.38</v>
      </c>
      <c r="P79" s="62">
        <f t="shared" si="26"/>
        <v>525804.86</v>
      </c>
      <c r="Q79" s="62">
        <f t="shared" si="26"/>
        <v>0</v>
      </c>
      <c r="R79" s="62">
        <f>SUM(R74:R78)</f>
        <v>1109374.6599999999</v>
      </c>
      <c r="S79" s="62">
        <f t="shared" si="26"/>
        <v>0</v>
      </c>
      <c r="T79" s="62">
        <f t="shared" si="26"/>
        <v>5354892.79</v>
      </c>
      <c r="U79" s="62">
        <f t="shared" si="26"/>
        <v>5354892.79</v>
      </c>
    </row>
    <row r="80" spans="1:31" ht="58.15" customHeight="1" x14ac:dyDescent="0.25">
      <c r="A80" s="234"/>
      <c r="B80" s="229" t="s">
        <v>109</v>
      </c>
      <c r="C80" s="295" t="s">
        <v>41</v>
      </c>
      <c r="D80" s="37" t="s">
        <v>24</v>
      </c>
      <c r="E80" s="165">
        <f>1252+176+73-27</f>
        <v>1474</v>
      </c>
      <c r="F80" s="165">
        <f>1252+176+46</f>
        <v>1474</v>
      </c>
      <c r="G80" s="160">
        <v>1474</v>
      </c>
      <c r="H80" s="165">
        <f>1252+176+46</f>
        <v>1474</v>
      </c>
      <c r="I80" s="165">
        <f>1252+176+46</f>
        <v>1474</v>
      </c>
      <c r="J80" s="61">
        <f>K80</f>
        <v>5125.76</v>
      </c>
      <c r="K80" s="61">
        <v>5125.76</v>
      </c>
      <c r="L80" s="61" t="s">
        <v>26</v>
      </c>
      <c r="M80" s="61" t="s">
        <v>26</v>
      </c>
      <c r="N80" s="61">
        <f>SUM(O80:R80)</f>
        <v>7555370.2400000002</v>
      </c>
      <c r="O80" s="61">
        <f>G80*K80</f>
        <v>7555370.2400000002</v>
      </c>
      <c r="P80" s="61" t="s">
        <v>26</v>
      </c>
      <c r="Q80" s="61"/>
      <c r="R80" s="61" t="s">
        <v>26</v>
      </c>
      <c r="S80" s="61"/>
      <c r="T80" s="61">
        <f>H80*K80</f>
        <v>7555370.2400000002</v>
      </c>
      <c r="U80" s="61">
        <f>I80*K80</f>
        <v>7555370.2400000002</v>
      </c>
    </row>
    <row r="81" spans="1:31" ht="47.45" customHeight="1" x14ac:dyDescent="0.25">
      <c r="A81" s="234"/>
      <c r="B81" s="230"/>
      <c r="C81" s="296"/>
      <c r="D81" s="298" t="s">
        <v>225</v>
      </c>
      <c r="E81" s="165">
        <f>58786-663-1615</f>
        <v>56508</v>
      </c>
      <c r="F81" s="165">
        <f>58786-663</f>
        <v>58123</v>
      </c>
      <c r="G81" s="160">
        <v>54893</v>
      </c>
      <c r="H81" s="165">
        <v>54893</v>
      </c>
      <c r="I81" s="165">
        <v>54893</v>
      </c>
      <c r="J81" s="61">
        <f>K81</f>
        <v>137.63813673874628</v>
      </c>
      <c r="K81" s="61">
        <f>N81/G81</f>
        <v>137.63813673874628</v>
      </c>
      <c r="L81" s="61" t="s">
        <v>26</v>
      </c>
      <c r="M81" s="61" t="s">
        <v>26</v>
      </c>
      <c r="N81" s="61">
        <f>N80</f>
        <v>7555370.2400000002</v>
      </c>
      <c r="O81" s="61">
        <f>O80</f>
        <v>7555370.2400000002</v>
      </c>
      <c r="P81" s="61" t="s">
        <v>26</v>
      </c>
      <c r="Q81" s="61"/>
      <c r="R81" s="61" t="s">
        <v>26</v>
      </c>
      <c r="S81" s="61"/>
      <c r="T81" s="61">
        <f>T80/G81*H81</f>
        <v>7555370.2399999993</v>
      </c>
      <c r="U81" s="61">
        <f>U80/G81*I81</f>
        <v>7555370.2399999993</v>
      </c>
    </row>
    <row r="82" spans="1:31" ht="19.149999999999999" customHeight="1" x14ac:dyDescent="0.25">
      <c r="A82" s="234"/>
      <c r="B82" s="218"/>
      <c r="C82" s="297" t="s">
        <v>38</v>
      </c>
      <c r="D82" s="10"/>
      <c r="E82" s="165">
        <f>SUM(E80:E80)</f>
        <v>1474</v>
      </c>
      <c r="F82" s="165">
        <f>SUM(F80:F80)</f>
        <v>1474</v>
      </c>
      <c r="G82" s="165">
        <f>SUM(G80:G80)</f>
        <v>1474</v>
      </c>
      <c r="H82" s="165">
        <f>SUM(H80:H80)</f>
        <v>1474</v>
      </c>
      <c r="I82" s="165">
        <f>SUM(I80:I80)</f>
        <v>1474</v>
      </c>
      <c r="J82" s="61" t="s">
        <v>26</v>
      </c>
      <c r="K82" s="61">
        <v>0</v>
      </c>
      <c r="L82" s="61">
        <v>0</v>
      </c>
      <c r="M82" s="61">
        <f t="shared" ref="M82:N82" si="27">SUM(M80:M80)</f>
        <v>0</v>
      </c>
      <c r="N82" s="62">
        <f t="shared" si="27"/>
        <v>7555370.2400000002</v>
      </c>
      <c r="O82" s="61">
        <f>SUM(O80:O80)</f>
        <v>7555370.2400000002</v>
      </c>
      <c r="P82" s="61">
        <f>G82*L82</f>
        <v>0</v>
      </c>
      <c r="Q82" s="61"/>
      <c r="R82" s="61">
        <f>G82*M82</f>
        <v>0</v>
      </c>
      <c r="S82" s="61"/>
      <c r="T82" s="61">
        <f>T80</f>
        <v>7555370.2400000002</v>
      </c>
      <c r="U82" s="61">
        <f>U80</f>
        <v>7555370.2400000002</v>
      </c>
    </row>
    <row r="83" spans="1:31" ht="28.5" x14ac:dyDescent="0.25">
      <c r="A83" s="234"/>
      <c r="B83" s="63" t="s">
        <v>45</v>
      </c>
      <c r="C83" s="10" t="s">
        <v>44</v>
      </c>
      <c r="D83" s="298" t="s">
        <v>46</v>
      </c>
      <c r="E83" s="165">
        <f>10+1</f>
        <v>11</v>
      </c>
      <c r="F83" s="165">
        <f>10+1</f>
        <v>11</v>
      </c>
      <c r="G83" s="160">
        <f>10+1</f>
        <v>11</v>
      </c>
      <c r="H83" s="165">
        <f>10+1</f>
        <v>11</v>
      </c>
      <c r="I83" s="165">
        <f>10+1</f>
        <v>11</v>
      </c>
      <c r="J83" s="61">
        <f>K83</f>
        <v>0</v>
      </c>
      <c r="K83" s="61"/>
      <c r="L83" s="61">
        <v>316440.09999999998</v>
      </c>
      <c r="M83" s="61"/>
      <c r="N83" s="61">
        <f>P83</f>
        <v>3480841.0999999996</v>
      </c>
      <c r="O83" s="61"/>
      <c r="P83" s="61">
        <f>G83*L83</f>
        <v>3480841.0999999996</v>
      </c>
      <c r="Q83" s="61"/>
      <c r="R83" s="61"/>
      <c r="S83" s="61"/>
      <c r="T83" s="61">
        <f>P83</f>
        <v>3480841.0999999996</v>
      </c>
      <c r="U83" s="61">
        <f t="shared" ref="U83:U88" si="28">T83</f>
        <v>3480841.0999999996</v>
      </c>
    </row>
    <row r="84" spans="1:31" hidden="1" x14ac:dyDescent="0.25">
      <c r="A84" s="234"/>
      <c r="B84" s="10" t="s">
        <v>53</v>
      </c>
      <c r="C84" s="10" t="s">
        <v>54</v>
      </c>
      <c r="D84" s="37" t="s">
        <v>24</v>
      </c>
      <c r="E84" s="165">
        <v>19</v>
      </c>
      <c r="F84" s="165">
        <v>19</v>
      </c>
      <c r="G84" s="165">
        <v>19</v>
      </c>
      <c r="H84" s="165">
        <v>19</v>
      </c>
      <c r="I84" s="165">
        <v>19</v>
      </c>
      <c r="J84" s="61"/>
      <c r="K84" s="61"/>
      <c r="L84" s="61"/>
      <c r="M84" s="61"/>
      <c r="N84" s="61">
        <f>S84</f>
        <v>0</v>
      </c>
      <c r="O84" s="61"/>
      <c r="P84" s="61"/>
      <c r="Q84" s="61"/>
      <c r="R84" s="61"/>
      <c r="S84" s="61"/>
      <c r="T84" s="61">
        <f>S84</f>
        <v>0</v>
      </c>
      <c r="U84" s="61">
        <f t="shared" si="28"/>
        <v>0</v>
      </c>
    </row>
    <row r="85" spans="1:31" hidden="1" x14ac:dyDescent="0.25">
      <c r="A85" s="234"/>
      <c r="B85" s="10" t="s">
        <v>53</v>
      </c>
      <c r="C85" s="10" t="s">
        <v>44</v>
      </c>
      <c r="D85" s="37" t="s">
        <v>24</v>
      </c>
      <c r="E85" s="165">
        <v>4</v>
      </c>
      <c r="F85" s="165">
        <v>4</v>
      </c>
      <c r="G85" s="165">
        <v>4</v>
      </c>
      <c r="H85" s="165">
        <v>4</v>
      </c>
      <c r="I85" s="165">
        <v>4</v>
      </c>
      <c r="J85" s="61"/>
      <c r="K85" s="61"/>
      <c r="L85" s="61"/>
      <c r="M85" s="61"/>
      <c r="N85" s="61">
        <f>Q85</f>
        <v>0</v>
      </c>
      <c r="O85" s="61"/>
      <c r="P85" s="61"/>
      <c r="Q85" s="61"/>
      <c r="R85" s="61"/>
      <c r="S85" s="61"/>
      <c r="T85" s="61"/>
      <c r="U85" s="61">
        <f t="shared" si="28"/>
        <v>0</v>
      </c>
      <c r="V85" s="8"/>
      <c r="W85" s="8"/>
    </row>
    <row r="86" spans="1:31" hidden="1" x14ac:dyDescent="0.25">
      <c r="A86" s="234"/>
      <c r="B86" s="10" t="s">
        <v>55</v>
      </c>
      <c r="C86" s="10" t="s">
        <v>54</v>
      </c>
      <c r="D86" s="37"/>
      <c r="E86" s="165"/>
      <c r="F86" s="165"/>
      <c r="G86" s="165"/>
      <c r="H86" s="165"/>
      <c r="I86" s="165"/>
      <c r="J86" s="61"/>
      <c r="K86" s="61"/>
      <c r="L86" s="61"/>
      <c r="M86" s="61"/>
      <c r="N86" s="61">
        <f>S86</f>
        <v>0</v>
      </c>
      <c r="O86" s="61"/>
      <c r="P86" s="61"/>
      <c r="Q86" s="61"/>
      <c r="R86" s="61"/>
      <c r="S86" s="61"/>
      <c r="T86" s="61"/>
      <c r="U86" s="61"/>
    </row>
    <row r="87" spans="1:31" ht="17.45" customHeight="1" x14ac:dyDescent="0.25">
      <c r="A87" s="234"/>
      <c r="B87" s="10" t="s">
        <v>47</v>
      </c>
      <c r="C87" s="10" t="s">
        <v>44</v>
      </c>
      <c r="D87" s="37"/>
      <c r="E87" s="165">
        <v>25</v>
      </c>
      <c r="F87" s="165">
        <v>23</v>
      </c>
      <c r="G87" s="160">
        <v>23</v>
      </c>
      <c r="H87" s="165">
        <v>25</v>
      </c>
      <c r="I87" s="165">
        <v>25</v>
      </c>
      <c r="J87" s="61"/>
      <c r="K87" s="61"/>
      <c r="L87" s="61"/>
      <c r="M87" s="61"/>
      <c r="N87" s="6">
        <f>SUM(O87:R87)</f>
        <v>5390280</v>
      </c>
      <c r="O87" s="61">
        <f>O78+O72+O60</f>
        <v>5390280</v>
      </c>
      <c r="P87" s="61"/>
      <c r="Q87" s="61"/>
      <c r="R87" s="61"/>
      <c r="S87" s="61"/>
      <c r="T87" s="61">
        <f>T78+T72+T60</f>
        <v>0</v>
      </c>
      <c r="U87" s="61">
        <f>U78+U72+U60</f>
        <v>0</v>
      </c>
    </row>
    <row r="88" spans="1:31" ht="13.9" hidden="1" customHeight="1" x14ac:dyDescent="0.25">
      <c r="A88" s="234"/>
      <c r="B88" s="10" t="s">
        <v>48</v>
      </c>
      <c r="C88" s="10" t="s">
        <v>44</v>
      </c>
      <c r="D88" s="37"/>
      <c r="E88" s="165"/>
      <c r="F88" s="165"/>
      <c r="G88" s="165"/>
      <c r="H88" s="165"/>
      <c r="I88" s="165"/>
      <c r="J88" s="61"/>
      <c r="K88" s="61"/>
      <c r="L88" s="61"/>
      <c r="M88" s="61"/>
      <c r="N88" s="61">
        <f>O88</f>
        <v>0</v>
      </c>
      <c r="O88" s="61"/>
      <c r="P88" s="61"/>
      <c r="Q88" s="61"/>
      <c r="R88" s="61"/>
      <c r="S88" s="61"/>
      <c r="T88" s="61">
        <f>O88</f>
        <v>0</v>
      </c>
      <c r="U88" s="61">
        <f t="shared" si="28"/>
        <v>0</v>
      </c>
    </row>
    <row r="89" spans="1:31" ht="13.9" hidden="1" customHeight="1" x14ac:dyDescent="0.25">
      <c r="A89" s="234"/>
      <c r="B89" s="10" t="s">
        <v>49</v>
      </c>
      <c r="C89" s="10" t="s">
        <v>44</v>
      </c>
      <c r="D89" s="37"/>
      <c r="E89" s="165"/>
      <c r="F89" s="165"/>
      <c r="G89" s="165"/>
      <c r="H89" s="165"/>
      <c r="I89" s="165"/>
      <c r="J89" s="61"/>
      <c r="K89" s="61"/>
      <c r="L89" s="61"/>
      <c r="M89" s="61"/>
      <c r="N89" s="61">
        <f>P89</f>
        <v>0</v>
      </c>
      <c r="O89" s="61"/>
      <c r="P89" s="61"/>
      <c r="Q89" s="61"/>
      <c r="R89" s="61"/>
      <c r="S89" s="61"/>
      <c r="T89" s="61"/>
      <c r="U89" s="61">
        <f>T89</f>
        <v>0</v>
      </c>
    </row>
    <row r="90" spans="1:31" ht="27.6" customHeight="1" x14ac:dyDescent="0.25">
      <c r="A90" s="235"/>
      <c r="B90" s="10" t="s">
        <v>50</v>
      </c>
      <c r="C90" s="10"/>
      <c r="D90" s="10"/>
      <c r="E90" s="194">
        <f>E61+E73+E79</f>
        <v>526</v>
      </c>
      <c r="F90" s="194">
        <f>F61+F73+F79</f>
        <v>533</v>
      </c>
      <c r="G90" s="194">
        <f>G61+G73+G79</f>
        <v>531</v>
      </c>
      <c r="H90" s="194">
        <f>H61+H73+H79</f>
        <v>667</v>
      </c>
      <c r="I90" s="194">
        <f>I61+I73+I79</f>
        <v>708</v>
      </c>
      <c r="J90" s="62"/>
      <c r="K90" s="62"/>
      <c r="L90" s="62"/>
      <c r="M90" s="62"/>
      <c r="N90" s="62">
        <f>SUM(O90:S90)</f>
        <v>80068207.040000007</v>
      </c>
      <c r="O90" s="62">
        <f>O61+O73+O79+O82+O88</f>
        <v>53737883.700000003</v>
      </c>
      <c r="P90" s="62">
        <f>P61+P73+P79+P82+P83+P84+P85+P89</f>
        <v>10828272.169999998</v>
      </c>
      <c r="Q90" s="62">
        <f>Q61+Q73+Q79+Q82+Q83+Q84+Q85</f>
        <v>0</v>
      </c>
      <c r="R90" s="62">
        <f>R61+R73+R79+R82+R83+R84+R85+R86</f>
        <v>15502051.17</v>
      </c>
      <c r="S90" s="62">
        <f>S61+S73+S79+S82+S83+S84+S85+S86</f>
        <v>0</v>
      </c>
      <c r="T90" s="62">
        <f>T61+T73+T79+T82+T83+T84+T85+T86+T88+T89</f>
        <v>86986184.150000006</v>
      </c>
      <c r="U90" s="62">
        <f>U61+U73+U79+U82+U83+U84+U85+U86+U88+U89</f>
        <v>91328503.579999998</v>
      </c>
      <c r="V90" s="8"/>
      <c r="W90" s="1" t="s">
        <v>422</v>
      </c>
      <c r="AB90" s="1" t="s">
        <v>537</v>
      </c>
    </row>
    <row r="91" spans="1:31" ht="76.150000000000006" customHeight="1" x14ac:dyDescent="0.25">
      <c r="A91" s="299" t="s">
        <v>56</v>
      </c>
      <c r="B91" s="290" t="s">
        <v>620</v>
      </c>
      <c r="C91" s="285" t="s">
        <v>23</v>
      </c>
      <c r="D91" s="37" t="s">
        <v>24</v>
      </c>
      <c r="E91" s="160">
        <f>220-1</f>
        <v>219</v>
      </c>
      <c r="F91" s="160">
        <v>208</v>
      </c>
      <c r="G91" s="160">
        <f>175+35</f>
        <v>210</v>
      </c>
      <c r="H91" s="160">
        <f>177+32</f>
        <v>209</v>
      </c>
      <c r="I91" s="160">
        <f>173+32</f>
        <v>205</v>
      </c>
      <c r="J91" s="6">
        <f>SUM(K91:M91)</f>
        <v>81422.03</v>
      </c>
      <c r="K91" s="6">
        <f>36390.31+2198.86</f>
        <v>38589.17</v>
      </c>
      <c r="L91" s="6">
        <v>13638.79</v>
      </c>
      <c r="M91" s="6">
        <v>29194.07</v>
      </c>
      <c r="N91" s="6">
        <f>SUM(O91:R91)</f>
        <v>17098626.300000001</v>
      </c>
      <c r="O91" s="6">
        <f>G91*K91</f>
        <v>8103725.6999999993</v>
      </c>
      <c r="P91" s="6">
        <f>G91*L91</f>
        <v>2864145.9000000004</v>
      </c>
      <c r="Q91" s="6"/>
      <c r="R91" s="61">
        <f>G91*M91</f>
        <v>6130754.7000000002</v>
      </c>
      <c r="S91" s="61"/>
      <c r="T91" s="61">
        <f>W91</f>
        <v>17017204.27</v>
      </c>
      <c r="U91" s="61">
        <f>AB91</f>
        <v>16691516.15</v>
      </c>
      <c r="W91" s="61">
        <f>SUM(X91:AA91)</f>
        <v>17017204.27</v>
      </c>
      <c r="X91" s="61">
        <f>H91*K91</f>
        <v>8065136.5299999993</v>
      </c>
      <c r="Y91" s="6">
        <f>H91*L91</f>
        <v>2850507.1100000003</v>
      </c>
      <c r="Z91" s="61">
        <f>H91*M91</f>
        <v>6101560.6299999999</v>
      </c>
      <c r="AB91" s="61">
        <f>SUM(AC91:AF91)</f>
        <v>16691516.15</v>
      </c>
      <c r="AC91" s="61">
        <f>I91*K91</f>
        <v>7910779.8499999996</v>
      </c>
      <c r="AD91" s="6">
        <f>I91*L91</f>
        <v>2795951.95</v>
      </c>
      <c r="AE91" s="61">
        <f>I91*M91</f>
        <v>5984784.3499999996</v>
      </c>
    </row>
    <row r="92" spans="1:31" ht="90" x14ac:dyDescent="0.25">
      <c r="A92" s="299"/>
      <c r="B92" s="291"/>
      <c r="C92" s="287" t="s">
        <v>25</v>
      </c>
      <c r="D92" s="37" t="s">
        <v>24</v>
      </c>
      <c r="E92" s="160" t="s">
        <v>26</v>
      </c>
      <c r="F92" s="160" t="s">
        <v>26</v>
      </c>
      <c r="G92" s="160" t="s">
        <v>26</v>
      </c>
      <c r="H92" s="160" t="s">
        <v>26</v>
      </c>
      <c r="I92" s="160" t="s">
        <v>26</v>
      </c>
      <c r="J92" s="160" t="s">
        <v>26</v>
      </c>
      <c r="K92" s="160" t="s">
        <v>26</v>
      </c>
      <c r="L92" s="160" t="s">
        <v>26</v>
      </c>
      <c r="M92" s="160" t="s">
        <v>26</v>
      </c>
      <c r="N92" s="160"/>
      <c r="O92" s="160"/>
      <c r="P92" s="160" t="s">
        <v>26</v>
      </c>
      <c r="Q92" s="160"/>
      <c r="R92" s="160" t="s">
        <v>26</v>
      </c>
      <c r="S92" s="160"/>
      <c r="T92" s="61"/>
      <c r="U92" s="61"/>
    </row>
    <row r="93" spans="1:31" x14ac:dyDescent="0.25">
      <c r="A93" s="299"/>
      <c r="B93" s="291"/>
      <c r="C93" s="287" t="s">
        <v>57</v>
      </c>
      <c r="D93" s="37" t="s">
        <v>24</v>
      </c>
      <c r="E93" s="160">
        <v>1</v>
      </c>
      <c r="F93" s="160">
        <v>1</v>
      </c>
      <c r="G93" s="160">
        <v>1</v>
      </c>
      <c r="H93" s="160">
        <v>1</v>
      </c>
      <c r="I93" s="160">
        <v>1</v>
      </c>
      <c r="J93" s="61">
        <f t="shared" ref="J93:J98" si="29">K93</f>
        <v>164394.18</v>
      </c>
      <c r="K93" s="61">
        <v>164394.18</v>
      </c>
      <c r="L93" s="160" t="s">
        <v>26</v>
      </c>
      <c r="M93" s="160" t="s">
        <v>26</v>
      </c>
      <c r="N93" s="6">
        <f t="shared" ref="N93:N98" si="30">O93</f>
        <v>164394.18</v>
      </c>
      <c r="O93" s="6">
        <f>G93*K93</f>
        <v>164394.18</v>
      </c>
      <c r="P93" s="160" t="s">
        <v>26</v>
      </c>
      <c r="Q93" s="160"/>
      <c r="R93" s="160" t="s">
        <v>26</v>
      </c>
      <c r="S93" s="160"/>
      <c r="T93" s="61">
        <f t="shared" ref="T93:T98" si="31">H93*K93</f>
        <v>164394.18</v>
      </c>
      <c r="U93" s="61">
        <f t="shared" ref="U93:U98" si="32">I93*K93</f>
        <v>164394.18</v>
      </c>
    </row>
    <row r="94" spans="1:31" x14ac:dyDescent="0.25">
      <c r="A94" s="299"/>
      <c r="B94" s="291"/>
      <c r="C94" s="287" t="s">
        <v>27</v>
      </c>
      <c r="D94" s="37" t="s">
        <v>24</v>
      </c>
      <c r="E94" s="160"/>
      <c r="F94" s="160"/>
      <c r="G94" s="160">
        <v>0</v>
      </c>
      <c r="H94" s="160">
        <v>0</v>
      </c>
      <c r="I94" s="160">
        <v>0</v>
      </c>
      <c r="J94" s="61">
        <f t="shared" si="29"/>
        <v>148440.13</v>
      </c>
      <c r="K94" s="61">
        <v>148440.13</v>
      </c>
      <c r="L94" s="160" t="s">
        <v>26</v>
      </c>
      <c r="M94" s="160" t="s">
        <v>26</v>
      </c>
      <c r="N94" s="6">
        <f t="shared" si="30"/>
        <v>0</v>
      </c>
      <c r="O94" s="6">
        <f t="shared" ref="O94:O98" si="33">G94*K94</f>
        <v>0</v>
      </c>
      <c r="P94" s="160" t="s">
        <v>26</v>
      </c>
      <c r="Q94" s="160"/>
      <c r="R94" s="160" t="s">
        <v>26</v>
      </c>
      <c r="S94" s="160"/>
      <c r="T94" s="61">
        <f t="shared" si="31"/>
        <v>0</v>
      </c>
      <c r="U94" s="61">
        <f t="shared" si="32"/>
        <v>0</v>
      </c>
    </row>
    <row r="95" spans="1:31" x14ac:dyDescent="0.25">
      <c r="A95" s="299"/>
      <c r="B95" s="291"/>
      <c r="C95" s="287" t="s">
        <v>28</v>
      </c>
      <c r="D95" s="37" t="s">
        <v>24</v>
      </c>
      <c r="E95" s="160">
        <f>24-1</f>
        <v>23</v>
      </c>
      <c r="F95" s="160">
        <f>24-7</f>
        <v>17</v>
      </c>
      <c r="G95" s="160">
        <v>17</v>
      </c>
      <c r="H95" s="160">
        <v>15</v>
      </c>
      <c r="I95" s="160">
        <v>15</v>
      </c>
      <c r="J95" s="61">
        <f t="shared" si="29"/>
        <v>164394.18</v>
      </c>
      <c r="K95" s="61">
        <v>164394.18</v>
      </c>
      <c r="L95" s="160" t="s">
        <v>26</v>
      </c>
      <c r="M95" s="160" t="s">
        <v>26</v>
      </c>
      <c r="N95" s="6">
        <f t="shared" si="30"/>
        <v>2794701.06</v>
      </c>
      <c r="O95" s="6">
        <f t="shared" si="33"/>
        <v>2794701.06</v>
      </c>
      <c r="P95" s="160" t="s">
        <v>26</v>
      </c>
      <c r="Q95" s="160"/>
      <c r="R95" s="160" t="s">
        <v>26</v>
      </c>
      <c r="S95" s="160"/>
      <c r="T95" s="61">
        <f t="shared" si="31"/>
        <v>2465912.6999999997</v>
      </c>
      <c r="U95" s="61">
        <f t="shared" si="32"/>
        <v>2465912.6999999997</v>
      </c>
    </row>
    <row r="96" spans="1:31" x14ac:dyDescent="0.25">
      <c r="A96" s="299"/>
      <c r="B96" s="291"/>
      <c r="C96" s="287" t="s">
        <v>29</v>
      </c>
      <c r="D96" s="37" t="s">
        <v>24</v>
      </c>
      <c r="E96" s="160">
        <v>1</v>
      </c>
      <c r="F96" s="160">
        <v>1</v>
      </c>
      <c r="G96" s="160">
        <v>1</v>
      </c>
      <c r="H96" s="160">
        <v>1</v>
      </c>
      <c r="I96" s="160">
        <v>1</v>
      </c>
      <c r="J96" s="61">
        <f t="shared" si="29"/>
        <v>196302.28</v>
      </c>
      <c r="K96" s="61">
        <v>196302.28</v>
      </c>
      <c r="L96" s="160" t="s">
        <v>26</v>
      </c>
      <c r="M96" s="160" t="s">
        <v>26</v>
      </c>
      <c r="N96" s="6">
        <f t="shared" si="30"/>
        <v>196302.28</v>
      </c>
      <c r="O96" s="6">
        <f t="shared" si="33"/>
        <v>196302.28</v>
      </c>
      <c r="P96" s="160" t="s">
        <v>26</v>
      </c>
      <c r="Q96" s="160"/>
      <c r="R96" s="160" t="s">
        <v>26</v>
      </c>
      <c r="S96" s="160"/>
      <c r="T96" s="61">
        <f t="shared" si="31"/>
        <v>196302.28</v>
      </c>
      <c r="U96" s="61">
        <f t="shared" si="32"/>
        <v>196302.28</v>
      </c>
    </row>
    <row r="97" spans="1:31" x14ac:dyDescent="0.25">
      <c r="A97" s="299"/>
      <c r="B97" s="291"/>
      <c r="C97" s="287" t="s">
        <v>30</v>
      </c>
      <c r="D97" s="37" t="s">
        <v>24</v>
      </c>
      <c r="E97" s="160">
        <v>15</v>
      </c>
      <c r="F97" s="160">
        <v>16</v>
      </c>
      <c r="G97" s="160">
        <v>16</v>
      </c>
      <c r="H97" s="160">
        <f>15</f>
        <v>15</v>
      </c>
      <c r="I97" s="160">
        <f>15</f>
        <v>15</v>
      </c>
      <c r="J97" s="61">
        <f t="shared" si="29"/>
        <v>162574.21</v>
      </c>
      <c r="K97" s="61">
        <v>162574.21</v>
      </c>
      <c r="L97" s="160" t="s">
        <v>26</v>
      </c>
      <c r="M97" s="160" t="s">
        <v>26</v>
      </c>
      <c r="N97" s="6">
        <f t="shared" si="30"/>
        <v>2601187.36</v>
      </c>
      <c r="O97" s="6">
        <f t="shared" si="33"/>
        <v>2601187.36</v>
      </c>
      <c r="P97" s="160" t="s">
        <v>26</v>
      </c>
      <c r="Q97" s="160"/>
      <c r="R97" s="160" t="s">
        <v>26</v>
      </c>
      <c r="S97" s="160"/>
      <c r="T97" s="61">
        <f t="shared" si="31"/>
        <v>2438613.15</v>
      </c>
      <c r="U97" s="61">
        <f t="shared" si="32"/>
        <v>2438613.15</v>
      </c>
    </row>
    <row r="98" spans="1:31" x14ac:dyDescent="0.25">
      <c r="A98" s="299"/>
      <c r="B98" s="291"/>
      <c r="C98" s="287" t="s">
        <v>34</v>
      </c>
      <c r="D98" s="37" t="s">
        <v>24</v>
      </c>
      <c r="E98" s="160"/>
      <c r="F98" s="160"/>
      <c r="G98" s="160">
        <v>0</v>
      </c>
      <c r="H98" s="160">
        <v>0</v>
      </c>
      <c r="I98" s="160">
        <v>0</v>
      </c>
      <c r="J98" s="61">
        <f t="shared" si="29"/>
        <v>146900.85999999999</v>
      </c>
      <c r="K98" s="61">
        <v>146900.85999999999</v>
      </c>
      <c r="L98" s="160" t="s">
        <v>26</v>
      </c>
      <c r="M98" s="160" t="s">
        <v>26</v>
      </c>
      <c r="N98" s="6">
        <f t="shared" si="30"/>
        <v>0</v>
      </c>
      <c r="O98" s="6">
        <f t="shared" si="33"/>
        <v>0</v>
      </c>
      <c r="P98" s="160" t="s">
        <v>26</v>
      </c>
      <c r="Q98" s="160"/>
      <c r="R98" s="160" t="s">
        <v>26</v>
      </c>
      <c r="S98" s="160"/>
      <c r="T98" s="61">
        <f t="shared" si="31"/>
        <v>0</v>
      </c>
      <c r="U98" s="61">
        <f t="shared" si="32"/>
        <v>0</v>
      </c>
      <c r="W98" s="1" t="s">
        <v>337</v>
      </c>
    </row>
    <row r="99" spans="1:31" ht="82.9" customHeight="1" x14ac:dyDescent="0.25">
      <c r="A99" s="299"/>
      <c r="B99" s="291"/>
      <c r="C99" s="287" t="s">
        <v>35</v>
      </c>
      <c r="D99" s="37" t="s">
        <v>24</v>
      </c>
      <c r="E99" s="160">
        <v>2</v>
      </c>
      <c r="F99" s="160">
        <v>1</v>
      </c>
      <c r="G99" s="160">
        <v>1</v>
      </c>
      <c r="H99" s="160">
        <v>1</v>
      </c>
      <c r="I99" s="160">
        <v>1</v>
      </c>
      <c r="J99" s="61">
        <f>SUM(K99:M99)</f>
        <v>490148.29</v>
      </c>
      <c r="K99" s="61">
        <f>445116.57+2198.86</f>
        <v>447315.43</v>
      </c>
      <c r="L99" s="6">
        <v>13638.79</v>
      </c>
      <c r="M99" s="6">
        <v>29194.07</v>
      </c>
      <c r="N99" s="6">
        <f>SUM(O99:R99)</f>
        <v>490148.29</v>
      </c>
      <c r="O99" s="6">
        <f>G99*K99</f>
        <v>447315.43</v>
      </c>
      <c r="P99" s="6">
        <f>G99*L99</f>
        <v>13638.79</v>
      </c>
      <c r="Q99" s="6"/>
      <c r="R99" s="61">
        <f>G99*M99</f>
        <v>29194.07</v>
      </c>
      <c r="S99" s="61"/>
      <c r="T99" s="61">
        <f>W99</f>
        <v>490148.29</v>
      </c>
      <c r="U99" s="61">
        <f>AB99</f>
        <v>490148.29</v>
      </c>
      <c r="W99" s="61">
        <f>SUM(X99:AA99)</f>
        <v>490148.29</v>
      </c>
      <c r="X99" s="61">
        <f>H99*K99</f>
        <v>447315.43</v>
      </c>
      <c r="Y99" s="6">
        <f>H99*L99</f>
        <v>13638.79</v>
      </c>
      <c r="Z99" s="61">
        <f>H99*M99</f>
        <v>29194.07</v>
      </c>
      <c r="AB99" s="61">
        <f>SUM(AC99:AF99)</f>
        <v>490148.29</v>
      </c>
      <c r="AC99" s="61">
        <f>I99*K99</f>
        <v>447315.43</v>
      </c>
      <c r="AD99" s="6">
        <f>I99*L99</f>
        <v>13638.79</v>
      </c>
      <c r="AE99" s="61">
        <f>I99*M99</f>
        <v>29194.07</v>
      </c>
    </row>
    <row r="100" spans="1:31" ht="13.9" customHeight="1" x14ac:dyDescent="0.25">
      <c r="A100" s="299"/>
      <c r="B100" s="291"/>
      <c r="C100" s="162" t="s">
        <v>58</v>
      </c>
      <c r="D100" s="37" t="s">
        <v>59</v>
      </c>
      <c r="E100" s="160">
        <v>8</v>
      </c>
      <c r="F100" s="160">
        <v>8</v>
      </c>
      <c r="G100" s="160">
        <v>8</v>
      </c>
      <c r="H100" s="160">
        <v>8</v>
      </c>
      <c r="I100" s="160">
        <v>8</v>
      </c>
      <c r="J100" s="61">
        <f>SUM(K100:M100)</f>
        <v>234360</v>
      </c>
      <c r="K100" s="61">
        <f>10000*1.5*1.302*12</f>
        <v>234360</v>
      </c>
      <c r="L100" s="6"/>
      <c r="M100" s="6"/>
      <c r="N100" s="6">
        <f>SUM(O100:R100)</f>
        <v>1874880</v>
      </c>
      <c r="O100" s="6">
        <f>G100*K100</f>
        <v>1874880</v>
      </c>
      <c r="P100" s="6"/>
      <c r="Q100" s="6"/>
      <c r="R100" s="61"/>
      <c r="S100" s="61"/>
      <c r="T100" s="61">
        <f>H100*K100-1874880</f>
        <v>0</v>
      </c>
      <c r="U100" s="61">
        <f>I100*K100-1874880</f>
        <v>0</v>
      </c>
    </row>
    <row r="101" spans="1:31" ht="27.6" customHeight="1" x14ac:dyDescent="0.25">
      <c r="A101" s="299"/>
      <c r="B101" s="292"/>
      <c r="C101" s="162" t="s">
        <v>38</v>
      </c>
      <c r="D101" s="37"/>
      <c r="E101" s="193">
        <f>E91+E99</f>
        <v>221</v>
      </c>
      <c r="F101" s="193">
        <f>F91+F99</f>
        <v>209</v>
      </c>
      <c r="G101" s="193">
        <f>G91+G99</f>
        <v>211</v>
      </c>
      <c r="H101" s="193">
        <f>H91+H99</f>
        <v>210</v>
      </c>
      <c r="I101" s="193">
        <f>I91+I99</f>
        <v>206</v>
      </c>
      <c r="J101" s="6" t="s">
        <v>26</v>
      </c>
      <c r="K101" s="6" t="s">
        <v>26</v>
      </c>
      <c r="L101" s="6" t="s">
        <v>26</v>
      </c>
      <c r="M101" s="6" t="s">
        <v>26</v>
      </c>
      <c r="N101" s="161">
        <f t="shared" ref="N101:U101" si="34">SUM(N91:N100)</f>
        <v>25220239.469999999</v>
      </c>
      <c r="O101" s="161">
        <f t="shared" si="34"/>
        <v>16182506.009999998</v>
      </c>
      <c r="P101" s="161">
        <f t="shared" si="34"/>
        <v>2877784.6900000004</v>
      </c>
      <c r="Q101" s="161">
        <f t="shared" si="34"/>
        <v>0</v>
      </c>
      <c r="R101" s="161">
        <f t="shared" si="34"/>
        <v>6159948.7700000005</v>
      </c>
      <c r="S101" s="161">
        <f t="shared" si="34"/>
        <v>0</v>
      </c>
      <c r="T101" s="161">
        <f t="shared" si="34"/>
        <v>22772574.869999997</v>
      </c>
      <c r="U101" s="161">
        <f t="shared" si="34"/>
        <v>22446886.75</v>
      </c>
      <c r="W101" s="1" t="s">
        <v>422</v>
      </c>
      <c r="AB101" s="1" t="s">
        <v>537</v>
      </c>
    </row>
    <row r="102" spans="1:31" ht="72.599999999999994" customHeight="1" x14ac:dyDescent="0.25">
      <c r="A102" s="299"/>
      <c r="B102" s="290" t="s">
        <v>626</v>
      </c>
      <c r="C102" s="285" t="s">
        <v>23</v>
      </c>
      <c r="D102" s="37" t="s">
        <v>24</v>
      </c>
      <c r="E102" s="160">
        <v>230</v>
      </c>
      <c r="F102" s="160">
        <v>223</v>
      </c>
      <c r="G102" s="160">
        <f>217+G108</f>
        <v>222</v>
      </c>
      <c r="H102" s="160">
        <f>207+H108</f>
        <v>219</v>
      </c>
      <c r="I102" s="160">
        <f>209+I108</f>
        <v>228</v>
      </c>
      <c r="J102" s="6">
        <f>SUM(K102:M102)</f>
        <v>99728.75</v>
      </c>
      <c r="K102" s="6">
        <f>54145.32+2750.57</f>
        <v>56895.89</v>
      </c>
      <c r="L102" s="6">
        <v>13638.79</v>
      </c>
      <c r="M102" s="6">
        <v>29194.07</v>
      </c>
      <c r="N102" s="6">
        <f>SUM(O102:R102)</f>
        <v>22139782.5</v>
      </c>
      <c r="O102" s="6">
        <f>G102*K102</f>
        <v>12630887.58</v>
      </c>
      <c r="P102" s="6">
        <f>G102*L102</f>
        <v>3027811.3800000004</v>
      </c>
      <c r="Q102" s="6"/>
      <c r="R102" s="61">
        <f>G102*M102</f>
        <v>6481083.54</v>
      </c>
      <c r="S102" s="61"/>
      <c r="T102" s="61">
        <f>W102</f>
        <v>21840596.25</v>
      </c>
      <c r="U102" s="61">
        <f>AB102</f>
        <v>22738155</v>
      </c>
      <c r="W102" s="61">
        <f>SUM(X102:AA102)</f>
        <v>21840596.25</v>
      </c>
      <c r="X102" s="61">
        <f>H102*K102</f>
        <v>12460199.91</v>
      </c>
      <c r="Y102" s="6">
        <f>H102*L102</f>
        <v>2986895.0100000002</v>
      </c>
      <c r="Z102" s="61">
        <f>H102*M102</f>
        <v>6393501.3300000001</v>
      </c>
      <c r="AB102" s="61">
        <f>SUM(AC102:AF102)</f>
        <v>22738155</v>
      </c>
      <c r="AC102" s="61">
        <f>I102*K102</f>
        <v>12972262.92</v>
      </c>
      <c r="AD102" s="6">
        <f>I102*L102</f>
        <v>3109644.12</v>
      </c>
      <c r="AE102" s="61">
        <f>I102*M102</f>
        <v>6656247.96</v>
      </c>
    </row>
    <row r="103" spans="1:31" ht="105" x14ac:dyDescent="0.25">
      <c r="A103" s="299"/>
      <c r="B103" s="291"/>
      <c r="C103" s="285" t="s">
        <v>63</v>
      </c>
      <c r="D103" s="37" t="s">
        <v>24</v>
      </c>
      <c r="E103" s="160">
        <f>69+1</f>
        <v>70</v>
      </c>
      <c r="F103" s="160">
        <v>73</v>
      </c>
      <c r="G103" s="160">
        <v>73</v>
      </c>
      <c r="H103" s="160">
        <v>78</v>
      </c>
      <c r="I103" s="160">
        <v>73</v>
      </c>
      <c r="J103" s="6">
        <f>SUM(K103:M103)</f>
        <v>105712.05000000002</v>
      </c>
      <c r="K103" s="6">
        <f>60128.62+2750.57</f>
        <v>62879.19</v>
      </c>
      <c r="L103" s="6">
        <v>13638.79</v>
      </c>
      <c r="M103" s="6">
        <v>29194.07</v>
      </c>
      <c r="N103" s="6">
        <f>SUM(O103:R103)</f>
        <v>7716979.6500000004</v>
      </c>
      <c r="O103" s="6">
        <f>G103*K103</f>
        <v>4590180.87</v>
      </c>
      <c r="P103" s="6">
        <f>G103*L103</f>
        <v>995631.67</v>
      </c>
      <c r="Q103" s="6"/>
      <c r="R103" s="61">
        <f>G103*M103</f>
        <v>2131167.11</v>
      </c>
      <c r="S103" s="61"/>
      <c r="T103" s="61">
        <f>W103</f>
        <v>8245539.9000000004</v>
      </c>
      <c r="U103" s="61">
        <f>AB103</f>
        <v>7716979.6500000004</v>
      </c>
      <c r="W103" s="61">
        <f>SUM(X103:AA103)</f>
        <v>8245539.9000000004</v>
      </c>
      <c r="X103" s="61">
        <f>H103*K103</f>
        <v>4904576.82</v>
      </c>
      <c r="Y103" s="6">
        <f>H103*L103</f>
        <v>1063825.6200000001</v>
      </c>
      <c r="Z103" s="61">
        <f>H103*M103</f>
        <v>2277137.46</v>
      </c>
      <c r="AB103" s="61">
        <f>SUM(AC103:AF103)</f>
        <v>7716979.6500000004</v>
      </c>
      <c r="AC103" s="61">
        <f>I103*K103</f>
        <v>4590180.87</v>
      </c>
      <c r="AD103" s="6">
        <f>I103*L103</f>
        <v>995631.67</v>
      </c>
      <c r="AE103" s="61">
        <f>I103*M103</f>
        <v>2131167.11</v>
      </c>
    </row>
    <row r="104" spans="1:31" ht="90" x14ac:dyDescent="0.25">
      <c r="A104" s="299"/>
      <c r="B104" s="291"/>
      <c r="C104" s="287" t="s">
        <v>25</v>
      </c>
      <c r="D104" s="37" t="s">
        <v>24</v>
      </c>
      <c r="E104" s="160" t="s">
        <v>26</v>
      </c>
      <c r="F104" s="160" t="s">
        <v>26</v>
      </c>
      <c r="G104" s="160" t="s">
        <v>26</v>
      </c>
      <c r="H104" s="160" t="s">
        <v>26</v>
      </c>
      <c r="I104" s="160" t="s">
        <v>26</v>
      </c>
      <c r="J104" s="160" t="s">
        <v>26</v>
      </c>
      <c r="K104" s="160" t="s">
        <v>26</v>
      </c>
      <c r="L104" s="160" t="s">
        <v>26</v>
      </c>
      <c r="M104" s="160" t="s">
        <v>26</v>
      </c>
      <c r="N104" s="6"/>
      <c r="O104" s="6"/>
      <c r="P104" s="160" t="s">
        <v>26</v>
      </c>
      <c r="Q104" s="160"/>
      <c r="R104" s="160" t="s">
        <v>26</v>
      </c>
      <c r="S104" s="160"/>
      <c r="T104" s="61"/>
      <c r="U104" s="61"/>
    </row>
    <row r="105" spans="1:31" x14ac:dyDescent="0.25">
      <c r="A105" s="299"/>
      <c r="B105" s="291"/>
      <c r="C105" s="287" t="s">
        <v>57</v>
      </c>
      <c r="D105" s="37" t="s">
        <v>24</v>
      </c>
      <c r="E105" s="165">
        <f>1-1</f>
        <v>0</v>
      </c>
      <c r="F105" s="165">
        <f>1-1</f>
        <v>0</v>
      </c>
      <c r="G105" s="160">
        <v>0</v>
      </c>
      <c r="H105" s="165">
        <v>0</v>
      </c>
      <c r="I105" s="165">
        <v>0</v>
      </c>
      <c r="J105" s="61">
        <f>K105</f>
        <v>87898.44</v>
      </c>
      <c r="K105" s="61">
        <v>87898.44</v>
      </c>
      <c r="L105" s="160" t="s">
        <v>26</v>
      </c>
      <c r="M105" s="160" t="s">
        <v>26</v>
      </c>
      <c r="N105" s="6">
        <f>O105</f>
        <v>0</v>
      </c>
      <c r="O105" s="6">
        <f>G105*K105</f>
        <v>0</v>
      </c>
      <c r="P105" s="160" t="s">
        <v>26</v>
      </c>
      <c r="Q105" s="160"/>
      <c r="R105" s="160" t="s">
        <v>26</v>
      </c>
      <c r="S105" s="160"/>
      <c r="T105" s="61">
        <f>H105*K105</f>
        <v>0</v>
      </c>
      <c r="U105" s="61">
        <f>I105*K105</f>
        <v>0</v>
      </c>
    </row>
    <row r="106" spans="1:31" x14ac:dyDescent="0.25">
      <c r="A106" s="299"/>
      <c r="B106" s="291"/>
      <c r="C106" s="287" t="s">
        <v>27</v>
      </c>
      <c r="D106" s="37" t="s">
        <v>24</v>
      </c>
      <c r="E106" s="165">
        <f>1-1</f>
        <v>0</v>
      </c>
      <c r="F106" s="165">
        <f>1-1</f>
        <v>0</v>
      </c>
      <c r="G106" s="160">
        <v>0</v>
      </c>
      <c r="H106" s="165">
        <v>0</v>
      </c>
      <c r="I106" s="165">
        <v>0</v>
      </c>
      <c r="J106" s="61">
        <f>K106</f>
        <v>71944.38</v>
      </c>
      <c r="K106" s="61">
        <v>71944.38</v>
      </c>
      <c r="L106" s="160" t="s">
        <v>26</v>
      </c>
      <c r="M106" s="160" t="s">
        <v>26</v>
      </c>
      <c r="N106" s="6">
        <f>O106</f>
        <v>0</v>
      </c>
      <c r="O106" s="6">
        <f>G106*K106</f>
        <v>0</v>
      </c>
      <c r="P106" s="160" t="s">
        <v>26</v>
      </c>
      <c r="Q106" s="160"/>
      <c r="R106" s="160" t="s">
        <v>26</v>
      </c>
      <c r="S106" s="160"/>
      <c r="T106" s="61">
        <f>H106*K106</f>
        <v>0</v>
      </c>
      <c r="U106" s="61">
        <f>I106*K106</f>
        <v>0</v>
      </c>
    </row>
    <row r="107" spans="1:31" x14ac:dyDescent="0.25">
      <c r="A107" s="299"/>
      <c r="B107" s="291"/>
      <c r="C107" s="287" t="s">
        <v>29</v>
      </c>
      <c r="D107" s="37" t="s">
        <v>24</v>
      </c>
      <c r="E107" s="165"/>
      <c r="F107" s="165"/>
      <c r="G107" s="160">
        <v>0</v>
      </c>
      <c r="H107" s="165"/>
      <c r="I107" s="165"/>
      <c r="J107" s="61">
        <f>K107</f>
        <v>119806.54</v>
      </c>
      <c r="K107" s="61">
        <v>119806.54</v>
      </c>
      <c r="L107" s="160" t="s">
        <v>26</v>
      </c>
      <c r="M107" s="160" t="s">
        <v>26</v>
      </c>
      <c r="N107" s="6">
        <f>O107</f>
        <v>0</v>
      </c>
      <c r="O107" s="6">
        <f t="shared" ref="O107" si="35">G107*K107</f>
        <v>0</v>
      </c>
      <c r="P107" s="160" t="s">
        <v>26</v>
      </c>
      <c r="Q107" s="160"/>
      <c r="R107" s="160" t="s">
        <v>26</v>
      </c>
      <c r="S107" s="160"/>
      <c r="T107" s="61">
        <f>H107*K107</f>
        <v>0</v>
      </c>
      <c r="U107" s="61">
        <f>I107*K107</f>
        <v>0</v>
      </c>
    </row>
    <row r="108" spans="1:31" x14ac:dyDescent="0.25">
      <c r="A108" s="299"/>
      <c r="B108" s="291"/>
      <c r="C108" s="287" t="s">
        <v>34</v>
      </c>
      <c r="D108" s="37" t="s">
        <v>24</v>
      </c>
      <c r="E108" s="165">
        <f>2+2</f>
        <v>4</v>
      </c>
      <c r="F108" s="165">
        <v>5</v>
      </c>
      <c r="G108" s="160">
        <v>5</v>
      </c>
      <c r="H108" s="165">
        <v>12</v>
      </c>
      <c r="I108" s="165">
        <v>19</v>
      </c>
      <c r="J108" s="61">
        <f>K108</f>
        <v>18697.54</v>
      </c>
      <c r="K108" s="61">
        <v>18697.54</v>
      </c>
      <c r="L108" s="160" t="s">
        <v>26</v>
      </c>
      <c r="M108" s="160" t="s">
        <v>26</v>
      </c>
      <c r="N108" s="6">
        <f>O108</f>
        <v>93487.700000000012</v>
      </c>
      <c r="O108" s="6">
        <f>G108*K108</f>
        <v>93487.700000000012</v>
      </c>
      <c r="P108" s="160" t="s">
        <v>26</v>
      </c>
      <c r="Q108" s="160"/>
      <c r="R108" s="160" t="s">
        <v>26</v>
      </c>
      <c r="S108" s="160"/>
      <c r="T108" s="61">
        <f>H108*K108</f>
        <v>224370.48</v>
      </c>
      <c r="U108" s="61">
        <f>I108*K108</f>
        <v>355253.26</v>
      </c>
    </row>
    <row r="109" spans="1:31" ht="82.9" customHeight="1" x14ac:dyDescent="0.25">
      <c r="A109" s="299"/>
      <c r="B109" s="292"/>
      <c r="C109" s="287" t="s">
        <v>35</v>
      </c>
      <c r="D109" s="37" t="s">
        <v>24</v>
      </c>
      <c r="E109" s="165">
        <v>1</v>
      </c>
      <c r="F109" s="165">
        <v>1</v>
      </c>
      <c r="G109" s="160">
        <v>0</v>
      </c>
      <c r="H109" s="165">
        <v>1</v>
      </c>
      <c r="I109" s="165">
        <v>1</v>
      </c>
      <c r="J109" s="61">
        <f>SUM(K109:M109)</f>
        <v>547313.25</v>
      </c>
      <c r="K109" s="61">
        <f>501729.82+2750.57</f>
        <v>504480.39</v>
      </c>
      <c r="L109" s="6">
        <v>13638.79</v>
      </c>
      <c r="M109" s="6">
        <v>29194.07</v>
      </c>
      <c r="N109" s="61">
        <f>SUM(O109:R109)</f>
        <v>0</v>
      </c>
      <c r="O109" s="6">
        <f>G109*K109</f>
        <v>0</v>
      </c>
      <c r="P109" s="6">
        <f>G109*L109</f>
        <v>0</v>
      </c>
      <c r="Q109" s="61"/>
      <c r="R109" s="61">
        <f>G109*M109</f>
        <v>0</v>
      </c>
      <c r="S109" s="61"/>
      <c r="T109" s="61">
        <f>W109</f>
        <v>547313.25</v>
      </c>
      <c r="U109" s="61">
        <f>AB109</f>
        <v>547313.25</v>
      </c>
      <c r="W109" s="61">
        <f>SUM(X109:AA109)</f>
        <v>547313.25</v>
      </c>
      <c r="X109" s="61">
        <f>H109*K109</f>
        <v>504480.39</v>
      </c>
      <c r="Y109" s="6">
        <f>H109*L109</f>
        <v>13638.79</v>
      </c>
      <c r="Z109" s="61">
        <f>H109*M109</f>
        <v>29194.07</v>
      </c>
      <c r="AB109" s="61">
        <f>SUM(AC109:AF109)</f>
        <v>547313.25</v>
      </c>
      <c r="AC109" s="61">
        <f>I109*K109</f>
        <v>504480.39</v>
      </c>
      <c r="AD109" s="6">
        <f>I109*L109</f>
        <v>13638.79</v>
      </c>
      <c r="AE109" s="61">
        <f>I109*M109</f>
        <v>29194.07</v>
      </c>
    </row>
    <row r="110" spans="1:31" ht="13.9" customHeight="1" x14ac:dyDescent="0.25">
      <c r="A110" s="299"/>
      <c r="B110" s="293"/>
      <c r="C110" s="162" t="s">
        <v>58</v>
      </c>
      <c r="D110" s="37" t="s">
        <v>59</v>
      </c>
      <c r="E110" s="165">
        <v>11</v>
      </c>
      <c r="F110" s="165">
        <v>11</v>
      </c>
      <c r="G110" s="160">
        <v>11</v>
      </c>
      <c r="H110" s="165">
        <v>11</v>
      </c>
      <c r="I110" s="165">
        <v>11</v>
      </c>
      <c r="J110" s="61">
        <f>SUM(K110:M110)</f>
        <v>234360</v>
      </c>
      <c r="K110" s="61">
        <f>10000*1.5*1.302*12</f>
        <v>234360</v>
      </c>
      <c r="L110" s="6"/>
      <c r="M110" s="6"/>
      <c r="N110" s="61">
        <f>SUM(O110:R110)</f>
        <v>2577960</v>
      </c>
      <c r="O110" s="6">
        <f>G110*K110</f>
        <v>2577960</v>
      </c>
      <c r="P110" s="6"/>
      <c r="Q110" s="61"/>
      <c r="R110" s="61"/>
      <c r="S110" s="61"/>
      <c r="T110" s="61">
        <f>H110*K110-2577960</f>
        <v>0</v>
      </c>
      <c r="U110" s="61">
        <f>I110*K110-2577960</f>
        <v>0</v>
      </c>
    </row>
    <row r="111" spans="1:31" ht="18" customHeight="1" x14ac:dyDescent="0.25">
      <c r="A111" s="299"/>
      <c r="B111" s="293"/>
      <c r="C111" s="162" t="s">
        <v>38</v>
      </c>
      <c r="D111" s="37"/>
      <c r="E111" s="194">
        <f>E102+E103+E109</f>
        <v>301</v>
      </c>
      <c r="F111" s="194">
        <f>F102+F103+F109</f>
        <v>297</v>
      </c>
      <c r="G111" s="194">
        <f>G102+G103+G109</f>
        <v>295</v>
      </c>
      <c r="H111" s="194">
        <f>H102+H103+H109</f>
        <v>298</v>
      </c>
      <c r="I111" s="194">
        <f>I102+I103+I109</f>
        <v>302</v>
      </c>
      <c r="J111" s="61" t="s">
        <v>26</v>
      </c>
      <c r="K111" s="61" t="s">
        <v>26</v>
      </c>
      <c r="L111" s="61" t="s">
        <v>26</v>
      </c>
      <c r="M111" s="61" t="s">
        <v>26</v>
      </c>
      <c r="N111" s="62">
        <f t="shared" ref="N111:U111" si="36">SUM(N102:N110)</f>
        <v>32528209.849999998</v>
      </c>
      <c r="O111" s="62">
        <f t="shared" si="36"/>
        <v>19892516.149999999</v>
      </c>
      <c r="P111" s="62">
        <f t="shared" si="36"/>
        <v>4023443.0500000003</v>
      </c>
      <c r="Q111" s="62">
        <f t="shared" si="36"/>
        <v>0</v>
      </c>
      <c r="R111" s="62">
        <f t="shared" si="36"/>
        <v>8612250.6500000004</v>
      </c>
      <c r="S111" s="62">
        <f t="shared" si="36"/>
        <v>0</v>
      </c>
      <c r="T111" s="62">
        <f t="shared" si="36"/>
        <v>30857819.879999999</v>
      </c>
      <c r="U111" s="62">
        <f t="shared" si="36"/>
        <v>31357701.16</v>
      </c>
      <c r="W111" s="1" t="s">
        <v>538</v>
      </c>
    </row>
    <row r="112" spans="1:31" ht="73.150000000000006" customHeight="1" x14ac:dyDescent="0.25">
      <c r="A112" s="299"/>
      <c r="B112" s="290" t="s">
        <v>622</v>
      </c>
      <c r="C112" s="285" t="s">
        <v>23</v>
      </c>
      <c r="D112" s="37" t="s">
        <v>24</v>
      </c>
      <c r="E112" s="165">
        <v>51</v>
      </c>
      <c r="F112" s="165">
        <v>49</v>
      </c>
      <c r="G112" s="160">
        <v>48</v>
      </c>
      <c r="H112" s="165">
        <v>49</v>
      </c>
      <c r="I112" s="165">
        <v>52</v>
      </c>
      <c r="J112" s="6">
        <f>SUM(K112:M112)</f>
        <v>115704.37</v>
      </c>
      <c r="K112" s="6">
        <f>70145.11+2726.4</f>
        <v>72871.509999999995</v>
      </c>
      <c r="L112" s="6">
        <v>13638.79</v>
      </c>
      <c r="M112" s="6">
        <v>29194.07</v>
      </c>
      <c r="N112" s="61">
        <f>SUM(O112:R112)</f>
        <v>5553809.7599999998</v>
      </c>
      <c r="O112" s="61">
        <f>G112*K112</f>
        <v>3497832.4799999995</v>
      </c>
      <c r="P112" s="6">
        <f>G112*L112</f>
        <v>654661.92000000004</v>
      </c>
      <c r="Q112" s="61"/>
      <c r="R112" s="61">
        <f>G112*M112</f>
        <v>1401315.3599999999</v>
      </c>
      <c r="S112" s="61"/>
      <c r="T112" s="61">
        <f>W112</f>
        <v>5669514.1299999999</v>
      </c>
      <c r="U112" s="61">
        <f>T112</f>
        <v>5669514.1299999999</v>
      </c>
      <c r="W112" s="61">
        <f>SUM(X112:AA112)</f>
        <v>5669514.1299999999</v>
      </c>
      <c r="X112" s="61">
        <f>H112*K112</f>
        <v>3570703.9899999998</v>
      </c>
      <c r="Y112" s="6">
        <f>H112*L112</f>
        <v>668300.71000000008</v>
      </c>
      <c r="Z112" s="61">
        <f>H112*M112</f>
        <v>1430509.43</v>
      </c>
    </row>
    <row r="113" spans="1:31" ht="90" x14ac:dyDescent="0.25">
      <c r="A113" s="299"/>
      <c r="B113" s="291"/>
      <c r="C113" s="287" t="s">
        <v>25</v>
      </c>
      <c r="D113" s="37" t="s">
        <v>24</v>
      </c>
      <c r="E113" s="160" t="s">
        <v>26</v>
      </c>
      <c r="F113" s="160" t="s">
        <v>26</v>
      </c>
      <c r="G113" s="160" t="s">
        <v>26</v>
      </c>
      <c r="H113" s="160" t="s">
        <v>26</v>
      </c>
      <c r="I113" s="160" t="s">
        <v>26</v>
      </c>
      <c r="J113" s="160" t="s">
        <v>26</v>
      </c>
      <c r="K113" s="160" t="s">
        <v>26</v>
      </c>
      <c r="L113" s="160" t="s">
        <v>26</v>
      </c>
      <c r="M113" s="160" t="s">
        <v>26</v>
      </c>
      <c r="N113" s="6"/>
      <c r="O113" s="6"/>
      <c r="P113" s="160" t="s">
        <v>26</v>
      </c>
      <c r="Q113" s="160"/>
      <c r="R113" s="160" t="s">
        <v>26</v>
      </c>
      <c r="S113" s="160"/>
      <c r="T113" s="61"/>
      <c r="U113" s="61"/>
    </row>
    <row r="114" spans="1:31" x14ac:dyDescent="0.25">
      <c r="A114" s="299"/>
      <c r="B114" s="291"/>
      <c r="C114" s="287" t="s">
        <v>57</v>
      </c>
      <c r="D114" s="37" t="s">
        <v>24</v>
      </c>
      <c r="E114" s="160">
        <f>1-1</f>
        <v>0</v>
      </c>
      <c r="F114" s="160">
        <f>1-1</f>
        <v>0</v>
      </c>
      <c r="G114" s="308">
        <v>0</v>
      </c>
      <c r="H114" s="160">
        <f>1-1</f>
        <v>0</v>
      </c>
      <c r="I114" s="160">
        <f>1-1</f>
        <v>0</v>
      </c>
      <c r="J114" s="61">
        <f>K114</f>
        <v>90668.479999999996</v>
      </c>
      <c r="K114" s="6">
        <v>90668.479999999996</v>
      </c>
      <c r="L114" s="160" t="s">
        <v>26</v>
      </c>
      <c r="M114" s="160" t="s">
        <v>26</v>
      </c>
      <c r="N114" s="6">
        <f>O114</f>
        <v>0</v>
      </c>
      <c r="O114" s="6">
        <f>G114*K114</f>
        <v>0</v>
      </c>
      <c r="P114" s="160" t="s">
        <v>26</v>
      </c>
      <c r="Q114" s="160"/>
      <c r="R114" s="160" t="s">
        <v>26</v>
      </c>
      <c r="S114" s="160"/>
      <c r="T114" s="61">
        <f>H114*K114</f>
        <v>0</v>
      </c>
      <c r="U114" s="61">
        <f>I114*K114</f>
        <v>0</v>
      </c>
    </row>
    <row r="115" spans="1:31" x14ac:dyDescent="0.25">
      <c r="A115" s="299"/>
      <c r="B115" s="291"/>
      <c r="C115" s="287" t="s">
        <v>29</v>
      </c>
      <c r="D115" s="37" t="s">
        <v>24</v>
      </c>
      <c r="E115" s="165"/>
      <c r="F115" s="165"/>
      <c r="G115" s="160">
        <v>0</v>
      </c>
      <c r="H115" s="165">
        <v>0</v>
      </c>
      <c r="I115" s="165">
        <v>0</v>
      </c>
      <c r="J115" s="61">
        <f>K115</f>
        <v>122576.58</v>
      </c>
      <c r="K115" s="61">
        <v>122576.58</v>
      </c>
      <c r="L115" s="160" t="s">
        <v>26</v>
      </c>
      <c r="M115" s="160" t="s">
        <v>26</v>
      </c>
      <c r="N115" s="6">
        <f>O115</f>
        <v>0</v>
      </c>
      <c r="O115" s="6">
        <f>G115*K115</f>
        <v>0</v>
      </c>
      <c r="P115" s="160" t="s">
        <v>26</v>
      </c>
      <c r="Q115" s="160" t="s">
        <v>26</v>
      </c>
      <c r="R115" s="160" t="s">
        <v>26</v>
      </c>
      <c r="S115" s="160"/>
      <c r="T115" s="61">
        <f>H115*K115</f>
        <v>0</v>
      </c>
      <c r="U115" s="61">
        <f>I115*K115</f>
        <v>0</v>
      </c>
    </row>
    <row r="116" spans="1:31" x14ac:dyDescent="0.25">
      <c r="A116" s="299"/>
      <c r="B116" s="291"/>
      <c r="C116" s="287" t="s">
        <v>34</v>
      </c>
      <c r="D116" s="37" t="s">
        <v>24</v>
      </c>
      <c r="E116" s="165"/>
      <c r="F116" s="165"/>
      <c r="G116" s="160">
        <v>0</v>
      </c>
      <c r="H116" s="165"/>
      <c r="I116" s="165"/>
      <c r="J116" s="61">
        <f>K116</f>
        <v>18697.54</v>
      </c>
      <c r="K116" s="61">
        <v>18697.54</v>
      </c>
      <c r="L116" s="160" t="s">
        <v>26</v>
      </c>
      <c r="M116" s="6">
        <v>29194.07</v>
      </c>
      <c r="N116" s="6">
        <f>O116</f>
        <v>0</v>
      </c>
      <c r="O116" s="6">
        <f>G116*K116</f>
        <v>0</v>
      </c>
      <c r="P116" s="160" t="s">
        <v>26</v>
      </c>
      <c r="Q116" s="160"/>
      <c r="R116" s="160" t="s">
        <v>26</v>
      </c>
      <c r="S116" s="160"/>
      <c r="T116" s="61">
        <f>H116*K116</f>
        <v>0</v>
      </c>
      <c r="U116" s="61">
        <f>I116*K116</f>
        <v>0</v>
      </c>
    </row>
    <row r="117" spans="1:31" ht="82.9" customHeight="1" x14ac:dyDescent="0.25">
      <c r="A117" s="299"/>
      <c r="B117" s="292"/>
      <c r="C117" s="287" t="s">
        <v>35</v>
      </c>
      <c r="D117" s="37" t="s">
        <v>24</v>
      </c>
      <c r="E117" s="165"/>
      <c r="F117" s="165"/>
      <c r="G117" s="160">
        <v>0</v>
      </c>
      <c r="H117" s="165">
        <v>0</v>
      </c>
      <c r="I117" s="165">
        <v>0</v>
      </c>
      <c r="J117" s="61">
        <f>SUM(K117:M117)</f>
        <v>602690.06000000006</v>
      </c>
      <c r="K117" s="61">
        <f>557130.8+2726.4</f>
        <v>559857.20000000007</v>
      </c>
      <c r="L117" s="6">
        <v>13638.79</v>
      </c>
      <c r="M117" s="6">
        <v>29194.07</v>
      </c>
      <c r="N117" s="61">
        <f>SUM(O117:R117)</f>
        <v>0</v>
      </c>
      <c r="O117" s="6">
        <f>G117*K117</f>
        <v>0</v>
      </c>
      <c r="P117" s="6">
        <f>G117*L117</f>
        <v>0</v>
      </c>
      <c r="Q117" s="61"/>
      <c r="R117" s="61">
        <f>G117*M117</f>
        <v>0</v>
      </c>
      <c r="S117" s="61"/>
      <c r="T117" s="61">
        <f>W117</f>
        <v>0</v>
      </c>
      <c r="U117" s="61">
        <f>AB117</f>
        <v>0</v>
      </c>
      <c r="W117" s="61">
        <f>SUM(X117:AA117)</f>
        <v>0</v>
      </c>
      <c r="X117" s="61">
        <f>H117*K117</f>
        <v>0</v>
      </c>
      <c r="Y117" s="6">
        <f>H117*L117</f>
        <v>0</v>
      </c>
      <c r="Z117" s="61">
        <f>H117*M117</f>
        <v>0</v>
      </c>
      <c r="AB117" s="61">
        <f>SUM(AC117:AF117)</f>
        <v>0</v>
      </c>
      <c r="AC117" s="61">
        <f>I117*K117</f>
        <v>0</v>
      </c>
      <c r="AD117" s="6">
        <f>I117*L117</f>
        <v>0</v>
      </c>
      <c r="AE117" s="61">
        <f>I117*M117</f>
        <v>0</v>
      </c>
    </row>
    <row r="118" spans="1:31" ht="13.9" customHeight="1" x14ac:dyDescent="0.25">
      <c r="A118" s="299"/>
      <c r="B118" s="293"/>
      <c r="C118" s="162" t="s">
        <v>58</v>
      </c>
      <c r="D118" s="37" t="s">
        <v>59</v>
      </c>
      <c r="E118" s="165">
        <v>2</v>
      </c>
      <c r="F118" s="165">
        <v>2</v>
      </c>
      <c r="G118" s="160">
        <v>2</v>
      </c>
      <c r="H118" s="165">
        <v>2</v>
      </c>
      <c r="I118" s="165">
        <v>2</v>
      </c>
      <c r="J118" s="61">
        <f>SUM(K118:M118)</f>
        <v>234360</v>
      </c>
      <c r="K118" s="61">
        <f>10000*1.5*1.302*12</f>
        <v>234360</v>
      </c>
      <c r="L118" s="6"/>
      <c r="M118" s="6"/>
      <c r="N118" s="61">
        <f>SUM(O118:R118)</f>
        <v>468720</v>
      </c>
      <c r="O118" s="6">
        <f>G118*K118</f>
        <v>468720</v>
      </c>
      <c r="P118" s="6"/>
      <c r="Q118" s="61"/>
      <c r="R118" s="61"/>
      <c r="S118" s="61"/>
      <c r="T118" s="61">
        <f>H118*K118-468720</f>
        <v>0</v>
      </c>
      <c r="U118" s="61">
        <f>I118*K118-468720</f>
        <v>0</v>
      </c>
    </row>
    <row r="119" spans="1:31" ht="22.15" customHeight="1" x14ac:dyDescent="0.25">
      <c r="A119" s="299"/>
      <c r="B119" s="293"/>
      <c r="C119" s="162" t="s">
        <v>38</v>
      </c>
      <c r="D119" s="37"/>
      <c r="E119" s="165">
        <f>E112+E117</f>
        <v>51</v>
      </c>
      <c r="F119" s="194">
        <f>F112+F117</f>
        <v>49</v>
      </c>
      <c r="G119" s="194">
        <f>G112+G117</f>
        <v>48</v>
      </c>
      <c r="H119" s="194">
        <f>H112+H117</f>
        <v>49</v>
      </c>
      <c r="I119" s="194">
        <f>I112+I117</f>
        <v>52</v>
      </c>
      <c r="J119" s="61" t="s">
        <v>26</v>
      </c>
      <c r="K119" s="61" t="s">
        <v>26</v>
      </c>
      <c r="L119" s="61" t="s">
        <v>26</v>
      </c>
      <c r="M119" s="61" t="s">
        <v>26</v>
      </c>
      <c r="N119" s="62">
        <f>SUM(N112:N118)</f>
        <v>6022529.7599999998</v>
      </c>
      <c r="O119" s="62">
        <f t="shared" ref="O119:U119" si="37">SUM(O112:O118)</f>
        <v>3966552.4799999995</v>
      </c>
      <c r="P119" s="62">
        <f t="shared" si="37"/>
        <v>654661.92000000004</v>
      </c>
      <c r="Q119" s="62">
        <f t="shared" si="37"/>
        <v>0</v>
      </c>
      <c r="R119" s="62">
        <f>SUM(R112:R118)</f>
        <v>1401315.3599999999</v>
      </c>
      <c r="S119" s="62">
        <f t="shared" si="37"/>
        <v>0</v>
      </c>
      <c r="T119" s="62">
        <f t="shared" si="37"/>
        <v>5669514.1299999999</v>
      </c>
      <c r="U119" s="62">
        <f t="shared" si="37"/>
        <v>5669514.1299999999</v>
      </c>
      <c r="X119" s="8"/>
    </row>
    <row r="120" spans="1:31" ht="56.45" customHeight="1" x14ac:dyDescent="0.25">
      <c r="A120" s="299"/>
      <c r="B120" s="229" t="s">
        <v>109</v>
      </c>
      <c r="C120" s="295" t="s">
        <v>41</v>
      </c>
      <c r="D120" s="37" t="s">
        <v>24</v>
      </c>
      <c r="E120" s="165">
        <f>1554+194+235-202</f>
        <v>1781</v>
      </c>
      <c r="F120" s="165">
        <f>1554+194+33</f>
        <v>1781</v>
      </c>
      <c r="G120" s="160">
        <v>1781</v>
      </c>
      <c r="H120" s="165">
        <v>1781</v>
      </c>
      <c r="I120" s="165">
        <v>1781</v>
      </c>
      <c r="J120" s="61">
        <f>K120</f>
        <v>5125.76</v>
      </c>
      <c r="K120" s="61">
        <v>5125.76</v>
      </c>
      <c r="L120" s="61" t="s">
        <v>26</v>
      </c>
      <c r="M120" s="61" t="s">
        <v>26</v>
      </c>
      <c r="N120" s="61">
        <f>SUM(O120:R120)</f>
        <v>9128978.5600000005</v>
      </c>
      <c r="O120" s="61">
        <f>G120*K120</f>
        <v>9128978.5600000005</v>
      </c>
      <c r="P120" s="61" t="s">
        <v>26</v>
      </c>
      <c r="Q120" s="61"/>
      <c r="R120" s="61" t="s">
        <v>26</v>
      </c>
      <c r="S120" s="61"/>
      <c r="T120" s="61">
        <f>H120*K120</f>
        <v>9128978.5600000005</v>
      </c>
      <c r="U120" s="61">
        <f>I120*K120</f>
        <v>9128978.5600000005</v>
      </c>
    </row>
    <row r="121" spans="1:31" ht="43.15" customHeight="1" x14ac:dyDescent="0.25">
      <c r="A121" s="299"/>
      <c r="B121" s="230"/>
      <c r="C121" s="296"/>
      <c r="D121" s="37" t="s">
        <v>225</v>
      </c>
      <c r="E121" s="165">
        <f>95983-1214</f>
        <v>94769</v>
      </c>
      <c r="F121" s="165">
        <v>95983</v>
      </c>
      <c r="G121" s="160">
        <v>98965</v>
      </c>
      <c r="H121" s="165">
        <v>98965</v>
      </c>
      <c r="I121" s="165">
        <v>98965</v>
      </c>
      <c r="J121" s="61">
        <f>K121</f>
        <v>92.244516344162079</v>
      </c>
      <c r="K121" s="61">
        <f>N121/G121</f>
        <v>92.244516344162079</v>
      </c>
      <c r="L121" s="61" t="s">
        <v>26</v>
      </c>
      <c r="M121" s="61" t="s">
        <v>26</v>
      </c>
      <c r="N121" s="61">
        <f>N120</f>
        <v>9128978.5600000005</v>
      </c>
      <c r="O121" s="61">
        <f>O120</f>
        <v>9128978.5600000005</v>
      </c>
      <c r="P121" s="61" t="s">
        <v>26</v>
      </c>
      <c r="Q121" s="61"/>
      <c r="R121" s="61" t="s">
        <v>26</v>
      </c>
      <c r="S121" s="61"/>
      <c r="T121" s="61">
        <f>T120/G121*H121</f>
        <v>9128978.5600000005</v>
      </c>
      <c r="U121" s="61">
        <f>U120/G121*I121</f>
        <v>9128978.5600000005</v>
      </c>
    </row>
    <row r="122" spans="1:31" ht="20.45" customHeight="1" x14ac:dyDescent="0.25">
      <c r="A122" s="299"/>
      <c r="B122" s="218"/>
      <c r="C122" s="162" t="s">
        <v>38</v>
      </c>
      <c r="D122" s="10"/>
      <c r="E122" s="165">
        <f>SUM(E120:E120)</f>
        <v>1781</v>
      </c>
      <c r="F122" s="165">
        <f>SUM(F120:F120)</f>
        <v>1781</v>
      </c>
      <c r="G122" s="165">
        <f>SUM(G120:G120)</f>
        <v>1781</v>
      </c>
      <c r="H122" s="165">
        <f>SUM(H120:H120)</f>
        <v>1781</v>
      </c>
      <c r="I122" s="165">
        <f>SUM(I120:I120)</f>
        <v>1781</v>
      </c>
      <c r="J122" s="61" t="s">
        <v>26</v>
      </c>
      <c r="K122" s="61" t="s">
        <v>26</v>
      </c>
      <c r="L122" s="61" t="s">
        <v>26</v>
      </c>
      <c r="M122" s="61">
        <f t="shared" ref="M122:R122" si="38">SUM(M120:M120)</f>
        <v>0</v>
      </c>
      <c r="N122" s="62">
        <f t="shared" si="38"/>
        <v>9128978.5600000005</v>
      </c>
      <c r="O122" s="61">
        <f>SUM(O120:O120)</f>
        <v>9128978.5600000005</v>
      </c>
      <c r="P122" s="61">
        <f t="shared" si="38"/>
        <v>0</v>
      </c>
      <c r="Q122" s="61"/>
      <c r="R122" s="61">
        <f t="shared" si="38"/>
        <v>0</v>
      </c>
      <c r="S122" s="61"/>
      <c r="T122" s="61">
        <f>T120</f>
        <v>9128978.5600000005</v>
      </c>
      <c r="U122" s="61">
        <f>U120</f>
        <v>9128978.5600000005</v>
      </c>
    </row>
    <row r="123" spans="1:31" ht="29.25" x14ac:dyDescent="0.25">
      <c r="A123" s="299"/>
      <c r="B123" s="159" t="s">
        <v>45</v>
      </c>
      <c r="C123" s="9" t="s">
        <v>44</v>
      </c>
      <c r="D123" s="298" t="s">
        <v>46</v>
      </c>
      <c r="E123" s="165">
        <f>8-8</f>
        <v>0</v>
      </c>
      <c r="F123" s="165">
        <f>8-8</f>
        <v>0</v>
      </c>
      <c r="G123" s="160">
        <v>0</v>
      </c>
      <c r="H123" s="165">
        <f>8-8</f>
        <v>0</v>
      </c>
      <c r="I123" s="165">
        <f>8-8</f>
        <v>0</v>
      </c>
      <c r="J123" s="61"/>
      <c r="K123" s="61"/>
      <c r="L123" s="61">
        <v>263700.28000000003</v>
      </c>
      <c r="M123" s="61"/>
      <c r="N123" s="61">
        <f>P123</f>
        <v>0</v>
      </c>
      <c r="O123" s="61"/>
      <c r="P123" s="61">
        <f>G123*L123</f>
        <v>0</v>
      </c>
      <c r="Q123" s="61"/>
      <c r="R123" s="61"/>
      <c r="S123" s="61"/>
      <c r="T123" s="61">
        <f>H123*L123</f>
        <v>0</v>
      </c>
      <c r="U123" s="61">
        <f>I123*L123</f>
        <v>0</v>
      </c>
    </row>
    <row r="124" spans="1:31" ht="29.25" x14ac:dyDescent="0.25">
      <c r="A124" s="299"/>
      <c r="B124" s="159" t="s">
        <v>45</v>
      </c>
      <c r="C124" s="9" t="s">
        <v>44</v>
      </c>
      <c r="D124" s="298" t="s">
        <v>46</v>
      </c>
      <c r="E124" s="165">
        <f>1+9</f>
        <v>10</v>
      </c>
      <c r="F124" s="165">
        <f>1+9</f>
        <v>10</v>
      </c>
      <c r="G124" s="160">
        <v>10</v>
      </c>
      <c r="H124" s="165">
        <f>1+9</f>
        <v>10</v>
      </c>
      <c r="I124" s="165">
        <f>1+9</f>
        <v>10</v>
      </c>
      <c r="J124" s="61"/>
      <c r="K124" s="61"/>
      <c r="L124" s="61">
        <v>316440.09999999998</v>
      </c>
      <c r="M124" s="61"/>
      <c r="N124" s="61">
        <f>P124</f>
        <v>3164401</v>
      </c>
      <c r="O124" s="61"/>
      <c r="P124" s="61">
        <f>G124*L124</f>
        <v>3164401</v>
      </c>
      <c r="Q124" s="61"/>
      <c r="R124" s="61"/>
      <c r="S124" s="61"/>
      <c r="T124" s="61">
        <f>H124*L124</f>
        <v>3164401</v>
      </c>
      <c r="U124" s="61">
        <f>I124*L124</f>
        <v>3164401</v>
      </c>
    </row>
    <row r="125" spans="1:31" hidden="1" x14ac:dyDescent="0.25">
      <c r="A125" s="299"/>
      <c r="B125" s="158" t="s">
        <v>53</v>
      </c>
      <c r="C125" s="9" t="s">
        <v>44</v>
      </c>
      <c r="D125" s="37" t="s">
        <v>24</v>
      </c>
      <c r="E125" s="165">
        <v>1</v>
      </c>
      <c r="F125" s="165">
        <v>1</v>
      </c>
      <c r="G125" s="165">
        <v>1</v>
      </c>
      <c r="H125" s="165">
        <v>1</v>
      </c>
      <c r="I125" s="165">
        <v>1</v>
      </c>
      <c r="J125" s="61"/>
      <c r="K125" s="61"/>
      <c r="L125" s="61"/>
      <c r="M125" s="61"/>
      <c r="N125" s="61">
        <f>Q125</f>
        <v>0</v>
      </c>
      <c r="O125" s="61"/>
      <c r="P125" s="61"/>
      <c r="Q125" s="61"/>
      <c r="R125" s="61"/>
      <c r="S125" s="61"/>
      <c r="T125" s="61"/>
      <c r="U125" s="61">
        <f t="shared" ref="U125:U128" si="39">T125</f>
        <v>0</v>
      </c>
      <c r="V125" s="8"/>
      <c r="W125" s="8"/>
    </row>
    <row r="126" spans="1:31" ht="13.9" hidden="1" customHeight="1" x14ac:dyDescent="0.25">
      <c r="A126" s="299"/>
      <c r="B126" s="158" t="s">
        <v>55</v>
      </c>
      <c r="C126" s="9" t="s">
        <v>54</v>
      </c>
      <c r="D126" s="37"/>
      <c r="E126" s="165"/>
      <c r="F126" s="165"/>
      <c r="G126" s="165"/>
      <c r="H126" s="165"/>
      <c r="I126" s="165"/>
      <c r="J126" s="61"/>
      <c r="K126" s="61"/>
      <c r="L126" s="61"/>
      <c r="M126" s="61"/>
      <c r="N126" s="61">
        <f>O126+P126+Q126+R126+S126</f>
        <v>0</v>
      </c>
      <c r="O126" s="61"/>
      <c r="P126" s="61"/>
      <c r="Q126" s="61"/>
      <c r="R126" s="61"/>
      <c r="S126" s="61"/>
      <c r="T126" s="61"/>
      <c r="U126" s="61"/>
    </row>
    <row r="127" spans="1:31" ht="19.149999999999999" customHeight="1" x14ac:dyDescent="0.25">
      <c r="A127" s="299"/>
      <c r="B127" s="158" t="s">
        <v>47</v>
      </c>
      <c r="C127" s="9" t="s">
        <v>44</v>
      </c>
      <c r="D127" s="37"/>
      <c r="E127" s="165">
        <v>21</v>
      </c>
      <c r="F127" s="165">
        <v>21</v>
      </c>
      <c r="G127" s="165">
        <v>21</v>
      </c>
      <c r="H127" s="165">
        <v>21</v>
      </c>
      <c r="I127" s="165">
        <v>21</v>
      </c>
      <c r="J127" s="61"/>
      <c r="K127" s="61"/>
      <c r="L127" s="61"/>
      <c r="M127" s="61"/>
      <c r="N127" s="61">
        <f>SUM(O127:R127)</f>
        <v>4921560</v>
      </c>
      <c r="O127" s="61">
        <f>O118+O110+O100</f>
        <v>4921560</v>
      </c>
      <c r="P127" s="61"/>
      <c r="Q127" s="61"/>
      <c r="R127" s="61"/>
      <c r="S127" s="61"/>
      <c r="T127" s="61">
        <f>T118+T110+T100</f>
        <v>0</v>
      </c>
      <c r="U127" s="61">
        <f>U118+U110+U100</f>
        <v>0</v>
      </c>
    </row>
    <row r="128" spans="1:31" ht="13.9" hidden="1" customHeight="1" x14ac:dyDescent="0.25">
      <c r="A128" s="299"/>
      <c r="B128" s="158" t="s">
        <v>48</v>
      </c>
      <c r="C128" s="10" t="s">
        <v>44</v>
      </c>
      <c r="D128" s="37"/>
      <c r="E128" s="165"/>
      <c r="F128" s="165"/>
      <c r="G128" s="165"/>
      <c r="H128" s="165"/>
      <c r="I128" s="165"/>
      <c r="J128" s="61"/>
      <c r="K128" s="61"/>
      <c r="L128" s="61"/>
      <c r="M128" s="61"/>
      <c r="N128" s="61">
        <f>O128+P128+Q128+R128+S128</f>
        <v>0</v>
      </c>
      <c r="O128" s="61"/>
      <c r="P128" s="61"/>
      <c r="Q128" s="61"/>
      <c r="R128" s="61"/>
      <c r="S128" s="61"/>
      <c r="T128" s="61">
        <f>O128</f>
        <v>0</v>
      </c>
      <c r="U128" s="61">
        <f t="shared" si="39"/>
        <v>0</v>
      </c>
    </row>
    <row r="129" spans="1:31" ht="13.9" hidden="1" customHeight="1" x14ac:dyDescent="0.25">
      <c r="A129" s="299"/>
      <c r="B129" s="158" t="s">
        <v>49</v>
      </c>
      <c r="C129" s="10" t="s">
        <v>44</v>
      </c>
      <c r="D129" s="37"/>
      <c r="E129" s="165"/>
      <c r="F129" s="165"/>
      <c r="G129" s="165"/>
      <c r="H129" s="165"/>
      <c r="I129" s="165"/>
      <c r="J129" s="61"/>
      <c r="K129" s="61"/>
      <c r="L129" s="61"/>
      <c r="M129" s="61"/>
      <c r="N129" s="61">
        <f>P129</f>
        <v>0</v>
      </c>
      <c r="O129" s="61"/>
      <c r="P129" s="61"/>
      <c r="Q129" s="61"/>
      <c r="R129" s="61"/>
      <c r="S129" s="61"/>
      <c r="T129" s="61"/>
      <c r="U129" s="61">
        <f>T129</f>
        <v>0</v>
      </c>
    </row>
    <row r="130" spans="1:31" ht="23.45" customHeight="1" x14ac:dyDescent="0.25">
      <c r="A130" s="299"/>
      <c r="B130" s="9" t="s">
        <v>50</v>
      </c>
      <c r="C130" s="10"/>
      <c r="D130" s="10"/>
      <c r="E130" s="194">
        <f>E101+E111+E119</f>
        <v>573</v>
      </c>
      <c r="F130" s="194">
        <f>F101+F111+F119</f>
        <v>555</v>
      </c>
      <c r="G130" s="194">
        <f>G101+G111+G119</f>
        <v>554</v>
      </c>
      <c r="H130" s="194">
        <f>H101+H111+H119</f>
        <v>557</v>
      </c>
      <c r="I130" s="194">
        <f>I101+I111+I119</f>
        <v>560</v>
      </c>
      <c r="J130" s="62"/>
      <c r="K130" s="62"/>
      <c r="L130" s="62"/>
      <c r="M130" s="62"/>
      <c r="N130" s="62">
        <f>SUM(O130:S130)</f>
        <v>76064358.640000001</v>
      </c>
      <c r="O130" s="62">
        <f>O101+O111+O119+O122+O128</f>
        <v>49170553.199999996</v>
      </c>
      <c r="P130" s="62">
        <f>P101+P111+P119+P122+P123+P124+P125+P129</f>
        <v>10720290.66</v>
      </c>
      <c r="Q130" s="62">
        <f>Q101+Q111+Q119+Q122+Q123+Q124+Q125</f>
        <v>0</v>
      </c>
      <c r="R130" s="62">
        <f>R101+R111+R119+R122+R123+R124+R125+R126</f>
        <v>16173514.780000001</v>
      </c>
      <c r="S130" s="62">
        <f>S101+S111+S119+S122+S123+S124+S125+S126</f>
        <v>0</v>
      </c>
      <c r="T130" s="62">
        <f>T101+T111+T119+T122+T123+T124+T125+T126+T128+T129</f>
        <v>71593288.439999998</v>
      </c>
      <c r="U130" s="62">
        <f>U101+U111+U119+U122+U123+U124+U125+U126+U128+U129</f>
        <v>71767481.599999994</v>
      </c>
      <c r="V130" s="8"/>
      <c r="W130" s="1" t="s">
        <v>538</v>
      </c>
      <c r="AA130" s="8"/>
      <c r="AB130" s="8"/>
    </row>
    <row r="131" spans="1:31" ht="75" customHeight="1" x14ac:dyDescent="0.25">
      <c r="A131" s="233" t="s">
        <v>60</v>
      </c>
      <c r="B131" s="290" t="s">
        <v>620</v>
      </c>
      <c r="C131" s="285" t="s">
        <v>23</v>
      </c>
      <c r="D131" s="37" t="s">
        <v>24</v>
      </c>
      <c r="E131" s="160">
        <v>206</v>
      </c>
      <c r="F131" s="160">
        <f>206-15</f>
        <v>191</v>
      </c>
      <c r="G131" s="160">
        <f>153+40</f>
        <v>193</v>
      </c>
      <c r="H131" s="160">
        <f>153+40</f>
        <v>193</v>
      </c>
      <c r="I131" s="160">
        <f>153+40</f>
        <v>193</v>
      </c>
      <c r="J131" s="6">
        <f>SUM(K131:M131)</f>
        <v>82051.01999999999</v>
      </c>
      <c r="K131" s="6">
        <f>36390.31+2198.86</f>
        <v>38589.17</v>
      </c>
      <c r="L131" s="6">
        <v>14267.78</v>
      </c>
      <c r="M131" s="6">
        <v>29194.07</v>
      </c>
      <c r="N131" s="6">
        <f>SUM(O131:R131)</f>
        <v>15835846.859999999</v>
      </c>
      <c r="O131" s="6">
        <f>G131*K131</f>
        <v>7447709.8099999996</v>
      </c>
      <c r="P131" s="6">
        <f>G131*L131</f>
        <v>2753681.54</v>
      </c>
      <c r="Q131" s="6"/>
      <c r="R131" s="61">
        <f>G131*M131</f>
        <v>5634455.5099999998</v>
      </c>
      <c r="S131" s="61"/>
      <c r="T131" s="61">
        <f>W131</f>
        <v>15835846.859999999</v>
      </c>
      <c r="U131" s="61">
        <f>AB131</f>
        <v>15835846.859999999</v>
      </c>
      <c r="W131" s="61">
        <f>SUM(X131:AA131)</f>
        <v>15835846.859999999</v>
      </c>
      <c r="X131" s="61">
        <f>H131*K131</f>
        <v>7447709.8099999996</v>
      </c>
      <c r="Y131" s="6">
        <f>H131*L131</f>
        <v>2753681.54</v>
      </c>
      <c r="Z131" s="61">
        <f>H131*M131</f>
        <v>5634455.5099999998</v>
      </c>
      <c r="AB131" s="61">
        <f>SUM(AC131:AF131)</f>
        <v>15835846.859999999</v>
      </c>
      <c r="AC131" s="61">
        <f>I131*K131</f>
        <v>7447709.8099999996</v>
      </c>
      <c r="AD131" s="6">
        <f>I131*L131</f>
        <v>2753681.54</v>
      </c>
      <c r="AE131" s="61">
        <f>I131*M131</f>
        <v>5634455.5099999998</v>
      </c>
    </row>
    <row r="132" spans="1:31" ht="89.45" customHeight="1" x14ac:dyDescent="0.25">
      <c r="A132" s="234"/>
      <c r="B132" s="291"/>
      <c r="C132" s="285" t="s">
        <v>25</v>
      </c>
      <c r="D132" s="37" t="s">
        <v>24</v>
      </c>
      <c r="E132" s="160" t="s">
        <v>26</v>
      </c>
      <c r="F132" s="160" t="s">
        <v>26</v>
      </c>
      <c r="G132" s="160" t="s">
        <v>26</v>
      </c>
      <c r="H132" s="160" t="s">
        <v>26</v>
      </c>
      <c r="I132" s="160" t="s">
        <v>26</v>
      </c>
      <c r="J132" s="160" t="s">
        <v>26</v>
      </c>
      <c r="K132" s="160" t="s">
        <v>26</v>
      </c>
      <c r="L132" s="160" t="s">
        <v>26</v>
      </c>
      <c r="M132" s="160" t="s">
        <v>26</v>
      </c>
      <c r="N132" s="6"/>
      <c r="O132" s="6"/>
      <c r="P132" s="160" t="s">
        <v>26</v>
      </c>
      <c r="Q132" s="160"/>
      <c r="R132" s="160" t="s">
        <v>26</v>
      </c>
      <c r="S132" s="160"/>
      <c r="T132" s="61"/>
      <c r="U132" s="61"/>
    </row>
    <row r="133" spans="1:31" x14ac:dyDescent="0.25">
      <c r="A133" s="234"/>
      <c r="B133" s="291"/>
      <c r="C133" s="189" t="s">
        <v>27</v>
      </c>
      <c r="D133" s="37" t="s">
        <v>24</v>
      </c>
      <c r="E133" s="160"/>
      <c r="F133" s="160">
        <v>1</v>
      </c>
      <c r="G133" s="160">
        <v>1</v>
      </c>
      <c r="H133" s="160">
        <v>1</v>
      </c>
      <c r="I133" s="160">
        <v>1</v>
      </c>
      <c r="J133" s="61">
        <f t="shared" ref="J133:J140" si="40">K133</f>
        <v>148440.13</v>
      </c>
      <c r="K133" s="6">
        <v>148440.13</v>
      </c>
      <c r="L133" s="160" t="s">
        <v>26</v>
      </c>
      <c r="M133" s="160" t="s">
        <v>26</v>
      </c>
      <c r="N133" s="6">
        <f t="shared" ref="N133:N140" si="41">O133</f>
        <v>148440.13</v>
      </c>
      <c r="O133" s="6">
        <f>G133*K133</f>
        <v>148440.13</v>
      </c>
      <c r="P133" s="160" t="s">
        <v>26</v>
      </c>
      <c r="Q133" s="160"/>
      <c r="R133" s="160" t="s">
        <v>26</v>
      </c>
      <c r="S133" s="160"/>
      <c r="T133" s="61">
        <f t="shared" ref="T133:T140" si="42">H133*K133</f>
        <v>148440.13</v>
      </c>
      <c r="U133" s="61">
        <f t="shared" ref="U133:U140" si="43">I133*K133</f>
        <v>148440.13</v>
      </c>
    </row>
    <row r="134" spans="1:31" x14ac:dyDescent="0.25">
      <c r="A134" s="234"/>
      <c r="B134" s="291"/>
      <c r="C134" s="189" t="s">
        <v>28</v>
      </c>
      <c r="D134" s="37" t="s">
        <v>24</v>
      </c>
      <c r="E134" s="160">
        <f>19-2</f>
        <v>17</v>
      </c>
      <c r="F134" s="160">
        <f>19-2</f>
        <v>17</v>
      </c>
      <c r="G134" s="160">
        <v>17</v>
      </c>
      <c r="H134" s="160">
        <f>17</f>
        <v>17</v>
      </c>
      <c r="I134" s="160">
        <f>17</f>
        <v>17</v>
      </c>
      <c r="J134" s="61">
        <f t="shared" si="40"/>
        <v>164394.18</v>
      </c>
      <c r="K134" s="6">
        <v>164394.18</v>
      </c>
      <c r="L134" s="160" t="s">
        <v>26</v>
      </c>
      <c r="M134" s="160" t="s">
        <v>26</v>
      </c>
      <c r="N134" s="6">
        <f t="shared" si="41"/>
        <v>2794701.06</v>
      </c>
      <c r="O134" s="6">
        <f t="shared" ref="O134:O140" si="44">G134*K134</f>
        <v>2794701.06</v>
      </c>
      <c r="P134" s="160" t="s">
        <v>26</v>
      </c>
      <c r="Q134" s="160"/>
      <c r="R134" s="160" t="s">
        <v>26</v>
      </c>
      <c r="S134" s="160"/>
      <c r="T134" s="61">
        <f t="shared" si="42"/>
        <v>2794701.06</v>
      </c>
      <c r="U134" s="61">
        <f t="shared" si="43"/>
        <v>2794701.06</v>
      </c>
    </row>
    <row r="135" spans="1:31" x14ac:dyDescent="0.25">
      <c r="A135" s="234"/>
      <c r="B135" s="291"/>
      <c r="C135" s="189" t="s">
        <v>29</v>
      </c>
      <c r="D135" s="37" t="s">
        <v>24</v>
      </c>
      <c r="E135" s="160">
        <f>1+1</f>
        <v>2</v>
      </c>
      <c r="F135" s="160">
        <f>1+1</f>
        <v>2</v>
      </c>
      <c r="G135" s="160">
        <v>2</v>
      </c>
      <c r="H135" s="160">
        <f>1+1</f>
        <v>2</v>
      </c>
      <c r="I135" s="160">
        <v>2</v>
      </c>
      <c r="J135" s="61">
        <f t="shared" si="40"/>
        <v>196302.28</v>
      </c>
      <c r="K135" s="6">
        <v>196302.28</v>
      </c>
      <c r="L135" s="160" t="s">
        <v>26</v>
      </c>
      <c r="M135" s="160" t="s">
        <v>26</v>
      </c>
      <c r="N135" s="6">
        <f t="shared" si="41"/>
        <v>392604.56</v>
      </c>
      <c r="O135" s="6">
        <f t="shared" si="44"/>
        <v>392604.56</v>
      </c>
      <c r="P135" s="160" t="s">
        <v>26</v>
      </c>
      <c r="Q135" s="160"/>
      <c r="R135" s="160" t="s">
        <v>26</v>
      </c>
      <c r="S135" s="160"/>
      <c r="T135" s="61">
        <f t="shared" si="42"/>
        <v>392604.56</v>
      </c>
      <c r="U135" s="61">
        <f t="shared" si="43"/>
        <v>392604.56</v>
      </c>
    </row>
    <row r="136" spans="1:31" x14ac:dyDescent="0.25">
      <c r="A136" s="234"/>
      <c r="B136" s="291"/>
      <c r="C136" s="189" t="s">
        <v>30</v>
      </c>
      <c r="D136" s="37" t="s">
        <v>24</v>
      </c>
      <c r="E136" s="160">
        <v>27</v>
      </c>
      <c r="F136" s="160">
        <f>27-1</f>
        <v>26</v>
      </c>
      <c r="G136" s="160">
        <f>26-9</f>
        <v>17</v>
      </c>
      <c r="H136" s="160">
        <f>26-9</f>
        <v>17</v>
      </c>
      <c r="I136" s="160">
        <f>26-9</f>
        <v>17</v>
      </c>
      <c r="J136" s="61">
        <f t="shared" si="40"/>
        <v>162574.21</v>
      </c>
      <c r="K136" s="61">
        <v>162574.21</v>
      </c>
      <c r="L136" s="160" t="s">
        <v>26</v>
      </c>
      <c r="M136" s="160" t="s">
        <v>26</v>
      </c>
      <c r="N136" s="6">
        <f t="shared" si="41"/>
        <v>2763761.57</v>
      </c>
      <c r="O136" s="6">
        <f t="shared" si="44"/>
        <v>2763761.57</v>
      </c>
      <c r="P136" s="160" t="s">
        <v>26</v>
      </c>
      <c r="Q136" s="160"/>
      <c r="R136" s="160" t="s">
        <v>26</v>
      </c>
      <c r="S136" s="160"/>
      <c r="T136" s="61">
        <f t="shared" si="42"/>
        <v>2763761.57</v>
      </c>
      <c r="U136" s="61">
        <f t="shared" si="43"/>
        <v>2763761.57</v>
      </c>
    </row>
    <row r="137" spans="1:31" x14ac:dyDescent="0.25">
      <c r="A137" s="234"/>
      <c r="B137" s="291"/>
      <c r="C137" s="189" t="s">
        <v>31</v>
      </c>
      <c r="D137" s="37" t="s">
        <v>24</v>
      </c>
      <c r="E137" s="160">
        <v>1</v>
      </c>
      <c r="F137" s="160">
        <f>1-1</f>
        <v>0</v>
      </c>
      <c r="G137" s="160">
        <v>0</v>
      </c>
      <c r="H137" s="160">
        <f>1-1</f>
        <v>0</v>
      </c>
      <c r="I137" s="160">
        <v>0</v>
      </c>
      <c r="J137" s="61">
        <f t="shared" si="40"/>
        <v>180348.22</v>
      </c>
      <c r="K137" s="61">
        <v>180348.22</v>
      </c>
      <c r="L137" s="160" t="s">
        <v>26</v>
      </c>
      <c r="M137" s="160" t="s">
        <v>26</v>
      </c>
      <c r="N137" s="6">
        <f t="shared" si="41"/>
        <v>0</v>
      </c>
      <c r="O137" s="6">
        <f t="shared" si="44"/>
        <v>0</v>
      </c>
      <c r="P137" s="160" t="s">
        <v>26</v>
      </c>
      <c r="Q137" s="160"/>
      <c r="R137" s="160" t="s">
        <v>26</v>
      </c>
      <c r="S137" s="160"/>
      <c r="T137" s="61">
        <f t="shared" si="42"/>
        <v>0</v>
      </c>
      <c r="U137" s="61">
        <f t="shared" si="43"/>
        <v>0</v>
      </c>
    </row>
    <row r="138" spans="1:31" x14ac:dyDescent="0.25">
      <c r="A138" s="234"/>
      <c r="B138" s="291"/>
      <c r="C138" s="189" t="s">
        <v>32</v>
      </c>
      <c r="D138" s="37" t="s">
        <v>24</v>
      </c>
      <c r="E138" s="160">
        <v>0</v>
      </c>
      <c r="F138" s="160">
        <f>1+1</f>
        <v>2</v>
      </c>
      <c r="G138" s="160">
        <v>2</v>
      </c>
      <c r="H138" s="160">
        <f>1+1</f>
        <v>2</v>
      </c>
      <c r="I138" s="160">
        <v>2</v>
      </c>
      <c r="J138" s="61">
        <f t="shared" ref="J138" si="45">K138</f>
        <v>204279.3</v>
      </c>
      <c r="K138" s="61">
        <v>204279.3</v>
      </c>
      <c r="L138" s="160" t="s">
        <v>26</v>
      </c>
      <c r="M138" s="160" t="s">
        <v>26</v>
      </c>
      <c r="N138" s="6">
        <f t="shared" ref="N138" si="46">O138</f>
        <v>408558.6</v>
      </c>
      <c r="O138" s="6">
        <f t="shared" ref="O138" si="47">G138*K138</f>
        <v>408558.6</v>
      </c>
      <c r="P138" s="160" t="s">
        <v>26</v>
      </c>
      <c r="Q138" s="160"/>
      <c r="R138" s="160" t="s">
        <v>26</v>
      </c>
      <c r="S138" s="160"/>
      <c r="T138" s="61">
        <f t="shared" ref="T138" si="48">H138*K138</f>
        <v>408558.6</v>
      </c>
      <c r="U138" s="61">
        <f t="shared" ref="U138" si="49">I138*K138</f>
        <v>408558.6</v>
      </c>
    </row>
    <row r="139" spans="1:31" x14ac:dyDescent="0.25">
      <c r="A139" s="234"/>
      <c r="B139" s="291"/>
      <c r="C139" s="189" t="s">
        <v>52</v>
      </c>
      <c r="D139" s="37" t="s">
        <v>24</v>
      </c>
      <c r="E139" s="160">
        <v>1</v>
      </c>
      <c r="F139" s="160">
        <v>1</v>
      </c>
      <c r="G139" s="160">
        <v>1</v>
      </c>
      <c r="H139" s="160">
        <v>1</v>
      </c>
      <c r="I139" s="160">
        <v>1</v>
      </c>
      <c r="J139" s="61">
        <f t="shared" si="40"/>
        <v>343079.52</v>
      </c>
      <c r="K139" s="61">
        <v>343079.52</v>
      </c>
      <c r="L139" s="160" t="s">
        <v>26</v>
      </c>
      <c r="M139" s="160" t="s">
        <v>26</v>
      </c>
      <c r="N139" s="6">
        <f t="shared" si="41"/>
        <v>343079.52</v>
      </c>
      <c r="O139" s="6">
        <f t="shared" si="44"/>
        <v>343079.52</v>
      </c>
      <c r="P139" s="160" t="s">
        <v>26</v>
      </c>
      <c r="Q139" s="160"/>
      <c r="R139" s="160" t="s">
        <v>26</v>
      </c>
      <c r="S139" s="160"/>
      <c r="T139" s="61">
        <f t="shared" si="42"/>
        <v>343079.52</v>
      </c>
      <c r="U139" s="61">
        <f t="shared" si="43"/>
        <v>343079.52</v>
      </c>
    </row>
    <row r="140" spans="1:31" x14ac:dyDescent="0.25">
      <c r="A140" s="234"/>
      <c r="B140" s="291"/>
      <c r="C140" s="189" t="s">
        <v>34</v>
      </c>
      <c r="D140" s="37" t="s">
        <v>24</v>
      </c>
      <c r="E140" s="160"/>
      <c r="F140" s="160"/>
      <c r="G140" s="160">
        <v>0</v>
      </c>
      <c r="H140" s="160"/>
      <c r="I140" s="160"/>
      <c r="J140" s="61">
        <f t="shared" si="40"/>
        <v>146900.85999999999</v>
      </c>
      <c r="K140" s="61">
        <v>146900.85999999999</v>
      </c>
      <c r="L140" s="160" t="s">
        <v>26</v>
      </c>
      <c r="M140" s="160" t="s">
        <v>26</v>
      </c>
      <c r="N140" s="6">
        <f t="shared" si="41"/>
        <v>0</v>
      </c>
      <c r="O140" s="6">
        <f t="shared" si="44"/>
        <v>0</v>
      </c>
      <c r="P140" s="160" t="s">
        <v>26</v>
      </c>
      <c r="Q140" s="160"/>
      <c r="R140" s="160" t="s">
        <v>26</v>
      </c>
      <c r="S140" s="160"/>
      <c r="T140" s="61">
        <f t="shared" si="42"/>
        <v>0</v>
      </c>
      <c r="U140" s="61">
        <f t="shared" si="43"/>
        <v>0</v>
      </c>
      <c r="W140" s="1" t="s">
        <v>538</v>
      </c>
    </row>
    <row r="141" spans="1:31" ht="87" customHeight="1" x14ac:dyDescent="0.25">
      <c r="A141" s="234"/>
      <c r="B141" s="291"/>
      <c r="C141" s="287" t="s">
        <v>35</v>
      </c>
      <c r="D141" s="37" t="s">
        <v>24</v>
      </c>
      <c r="E141" s="160">
        <v>5</v>
      </c>
      <c r="F141" s="160">
        <f>5+1</f>
        <v>6</v>
      </c>
      <c r="G141" s="160">
        <f>6</f>
        <v>6</v>
      </c>
      <c r="H141" s="160">
        <f>6</f>
        <v>6</v>
      </c>
      <c r="I141" s="160">
        <f>6</f>
        <v>6</v>
      </c>
      <c r="J141" s="61">
        <f>SUM(K141:M141)</f>
        <v>490777.28</v>
      </c>
      <c r="K141" s="61">
        <f>445116.57+2198.86</f>
        <v>447315.43</v>
      </c>
      <c r="L141" s="6">
        <v>14267.78</v>
      </c>
      <c r="M141" s="6">
        <v>29194.07</v>
      </c>
      <c r="N141" s="6">
        <f>SUM(O141:R141)</f>
        <v>2944663.68</v>
      </c>
      <c r="O141" s="6">
        <f>G141*K141</f>
        <v>2683892.58</v>
      </c>
      <c r="P141" s="6">
        <f>G141*L141</f>
        <v>85606.680000000008</v>
      </c>
      <c r="Q141" s="6"/>
      <c r="R141" s="61">
        <f>G141*M141</f>
        <v>175164.41999999998</v>
      </c>
      <c r="S141" s="61"/>
      <c r="T141" s="61">
        <f>W141</f>
        <v>2944663.68</v>
      </c>
      <c r="U141" s="61">
        <f>AB141</f>
        <v>2944663.68</v>
      </c>
      <c r="W141" s="61">
        <f>SUM(X141:AA141)</f>
        <v>2944663.68</v>
      </c>
      <c r="X141" s="61">
        <f>H141*K141</f>
        <v>2683892.58</v>
      </c>
      <c r="Y141" s="6">
        <f>H141*L141</f>
        <v>85606.680000000008</v>
      </c>
      <c r="Z141" s="61">
        <f>H141*M141</f>
        <v>175164.41999999998</v>
      </c>
      <c r="AB141" s="61">
        <f>SUM(AC141:AF141)</f>
        <v>2944663.68</v>
      </c>
      <c r="AC141" s="61">
        <f>I141*K141</f>
        <v>2683892.58</v>
      </c>
      <c r="AD141" s="6">
        <f>I141*L141</f>
        <v>85606.680000000008</v>
      </c>
      <c r="AE141" s="61">
        <f>I141*M141</f>
        <v>175164.41999999998</v>
      </c>
    </row>
    <row r="142" spans="1:31" ht="22.9" customHeight="1" x14ac:dyDescent="0.25">
      <c r="A142" s="234"/>
      <c r="B142" s="291"/>
      <c r="C142" s="159" t="s">
        <v>58</v>
      </c>
      <c r="D142" s="37" t="s">
        <v>59</v>
      </c>
      <c r="E142" s="160">
        <v>8</v>
      </c>
      <c r="F142" s="160">
        <v>8</v>
      </c>
      <c r="G142" s="160">
        <v>8</v>
      </c>
      <c r="H142" s="160">
        <v>8</v>
      </c>
      <c r="I142" s="160">
        <v>8</v>
      </c>
      <c r="J142" s="61">
        <f>SUM(K142:M142)</f>
        <v>234360</v>
      </c>
      <c r="K142" s="61">
        <f>10000*1.5*1.302*12</f>
        <v>234360</v>
      </c>
      <c r="L142" s="6"/>
      <c r="M142" s="6"/>
      <c r="N142" s="6">
        <f>SUM(O142:R142)</f>
        <v>1874900</v>
      </c>
      <c r="O142" s="6">
        <f>G142*K142+20</f>
        <v>1874900</v>
      </c>
      <c r="P142" s="6"/>
      <c r="Q142" s="6"/>
      <c r="R142" s="61"/>
      <c r="S142" s="61"/>
      <c r="T142" s="61">
        <f>H142*K142-1874880</f>
        <v>0</v>
      </c>
      <c r="U142" s="61">
        <f>I142*K142-1874880</f>
        <v>0</v>
      </c>
    </row>
    <row r="143" spans="1:31" ht="20.45" customHeight="1" x14ac:dyDescent="0.25">
      <c r="A143" s="234"/>
      <c r="B143" s="292"/>
      <c r="C143" s="159" t="s">
        <v>38</v>
      </c>
      <c r="D143" s="37"/>
      <c r="E143" s="193">
        <f>E131+E141</f>
        <v>211</v>
      </c>
      <c r="F143" s="193">
        <f>F131+F141</f>
        <v>197</v>
      </c>
      <c r="G143" s="193">
        <f>G131+G141</f>
        <v>199</v>
      </c>
      <c r="H143" s="193">
        <f>H131+H141</f>
        <v>199</v>
      </c>
      <c r="I143" s="193">
        <f>I131+I141</f>
        <v>199</v>
      </c>
      <c r="J143" s="6" t="s">
        <v>26</v>
      </c>
      <c r="K143" s="6" t="s">
        <v>26</v>
      </c>
      <c r="L143" s="6" t="s">
        <v>26</v>
      </c>
      <c r="M143" s="6" t="s">
        <v>26</v>
      </c>
      <c r="N143" s="161">
        <f>SUM(N131:N142)</f>
        <v>27506555.98</v>
      </c>
      <c r="O143" s="161">
        <f t="shared" ref="O143:U143" si="50">SUM(O131:O142)</f>
        <v>18857647.829999998</v>
      </c>
      <c r="P143" s="161">
        <f t="shared" si="50"/>
        <v>2839288.22</v>
      </c>
      <c r="Q143" s="161">
        <f t="shared" si="50"/>
        <v>0</v>
      </c>
      <c r="R143" s="161">
        <f t="shared" si="50"/>
        <v>5809619.9299999997</v>
      </c>
      <c r="S143" s="161">
        <f t="shared" si="50"/>
        <v>0</v>
      </c>
      <c r="T143" s="161">
        <f t="shared" si="50"/>
        <v>25631655.98</v>
      </c>
      <c r="U143" s="161">
        <f t="shared" si="50"/>
        <v>25631655.98</v>
      </c>
      <c r="W143" s="1" t="s">
        <v>422</v>
      </c>
      <c r="AB143" s="1" t="s">
        <v>537</v>
      </c>
    </row>
    <row r="144" spans="1:31" ht="75" customHeight="1" x14ac:dyDescent="0.25">
      <c r="A144" s="234"/>
      <c r="B144" s="290" t="s">
        <v>626</v>
      </c>
      <c r="C144" s="285" t="s">
        <v>23</v>
      </c>
      <c r="D144" s="37" t="s">
        <v>24</v>
      </c>
      <c r="E144" s="160">
        <f>261-51</f>
        <v>210</v>
      </c>
      <c r="F144" s="160">
        <f>211-20</f>
        <v>191</v>
      </c>
      <c r="G144" s="160">
        <f>179+11</f>
        <v>190</v>
      </c>
      <c r="H144" s="160">
        <f>179+11</f>
        <v>190</v>
      </c>
      <c r="I144" s="160">
        <f>179+11</f>
        <v>190</v>
      </c>
      <c r="J144" s="6">
        <f>SUM(K144:M144)</f>
        <v>100357.73999999999</v>
      </c>
      <c r="K144" s="6">
        <f>54145.32+2750.57</f>
        <v>56895.89</v>
      </c>
      <c r="L144" s="6">
        <v>14267.78</v>
      </c>
      <c r="M144" s="6">
        <v>29194.07</v>
      </c>
      <c r="N144" s="6">
        <f>SUM(O144:R144)</f>
        <v>19067970.600000001</v>
      </c>
      <c r="O144" s="6">
        <f>G144*K144</f>
        <v>10810219.1</v>
      </c>
      <c r="P144" s="6">
        <f>G144*L144</f>
        <v>2710878.2</v>
      </c>
      <c r="Q144" s="6"/>
      <c r="R144" s="61">
        <f>G144*M144</f>
        <v>5546873.2999999998</v>
      </c>
      <c r="S144" s="61"/>
      <c r="T144" s="61">
        <f>W144</f>
        <v>19067970.600000001</v>
      </c>
      <c r="U144" s="61">
        <f>AB144</f>
        <v>19067970.600000001</v>
      </c>
      <c r="W144" s="61">
        <f>SUM(X144:AA144)</f>
        <v>19067970.600000001</v>
      </c>
      <c r="X144" s="61">
        <f>H144*K144</f>
        <v>10810219.1</v>
      </c>
      <c r="Y144" s="6">
        <f>H144*L144</f>
        <v>2710878.2</v>
      </c>
      <c r="Z144" s="61">
        <f>H144*M144</f>
        <v>5546873.2999999998</v>
      </c>
      <c r="AB144" s="61">
        <f>SUM(AC144:AF144)</f>
        <v>19067970.600000001</v>
      </c>
      <c r="AC144" s="61">
        <f>I144*K144</f>
        <v>10810219.1</v>
      </c>
      <c r="AD144" s="6">
        <f>I144*L144</f>
        <v>2710878.2</v>
      </c>
      <c r="AE144" s="61">
        <f>I144*M144</f>
        <v>5546873.2999999998</v>
      </c>
    </row>
    <row r="145" spans="1:31" ht="106.9" customHeight="1" x14ac:dyDescent="0.25">
      <c r="A145" s="234"/>
      <c r="B145" s="291"/>
      <c r="C145" s="285" t="s">
        <v>63</v>
      </c>
      <c r="D145" s="37" t="s">
        <v>24</v>
      </c>
      <c r="E145" s="160">
        <v>54</v>
      </c>
      <c r="F145" s="160">
        <f>54+24</f>
        <v>78</v>
      </c>
      <c r="G145" s="160">
        <v>77</v>
      </c>
      <c r="H145" s="160">
        <v>77</v>
      </c>
      <c r="I145" s="160">
        <v>77</v>
      </c>
      <c r="J145" s="6">
        <f>SUM(K145:M145)</f>
        <v>106341.04000000001</v>
      </c>
      <c r="K145" s="6">
        <f>60128.62+2750.57</f>
        <v>62879.19</v>
      </c>
      <c r="L145" s="6">
        <v>14267.78</v>
      </c>
      <c r="M145" s="6">
        <v>29194.07</v>
      </c>
      <c r="N145" s="6">
        <f>SUM(O145:R145)</f>
        <v>8188260.0800000001</v>
      </c>
      <c r="O145" s="6">
        <f>G145*K145</f>
        <v>4841697.63</v>
      </c>
      <c r="P145" s="6">
        <f>G145*L145</f>
        <v>1098619.06</v>
      </c>
      <c r="Q145" s="6"/>
      <c r="R145" s="61">
        <f>G145*M145</f>
        <v>2247943.39</v>
      </c>
      <c r="S145" s="61"/>
      <c r="T145" s="61">
        <f>W145</f>
        <v>8188260.0800000001</v>
      </c>
      <c r="U145" s="61">
        <f>AB145</f>
        <v>8188260.0800000001</v>
      </c>
      <c r="W145" s="61">
        <f>SUM(X145:AA145)</f>
        <v>8188260.0800000001</v>
      </c>
      <c r="X145" s="61">
        <f>H145*K145</f>
        <v>4841697.63</v>
      </c>
      <c r="Y145" s="6">
        <f>H145*L145</f>
        <v>1098619.06</v>
      </c>
      <c r="Z145" s="61">
        <f>H145*M145</f>
        <v>2247943.39</v>
      </c>
      <c r="AB145" s="61">
        <f>SUM(AC145:AF145)</f>
        <v>8188260.0800000001</v>
      </c>
      <c r="AC145" s="61">
        <f>I145*K145</f>
        <v>4841697.63</v>
      </c>
      <c r="AD145" s="6">
        <f>I145*L145</f>
        <v>1098619.06</v>
      </c>
      <c r="AE145" s="61">
        <f>I145*M145</f>
        <v>2247943.39</v>
      </c>
    </row>
    <row r="146" spans="1:31" ht="89.45" customHeight="1" x14ac:dyDescent="0.25">
      <c r="A146" s="234"/>
      <c r="B146" s="291"/>
      <c r="C146" s="287" t="s">
        <v>25</v>
      </c>
      <c r="D146" s="37" t="s">
        <v>24</v>
      </c>
      <c r="E146" s="160" t="s">
        <v>26</v>
      </c>
      <c r="F146" s="160" t="s">
        <v>26</v>
      </c>
      <c r="G146" s="160" t="s">
        <v>26</v>
      </c>
      <c r="H146" s="160" t="s">
        <v>26</v>
      </c>
      <c r="I146" s="160" t="s">
        <v>26</v>
      </c>
      <c r="J146" s="160" t="s">
        <v>26</v>
      </c>
      <c r="K146" s="160" t="s">
        <v>26</v>
      </c>
      <c r="L146" s="160" t="s">
        <v>26</v>
      </c>
      <c r="M146" s="160" t="s">
        <v>26</v>
      </c>
      <c r="N146" s="6"/>
      <c r="O146" s="6"/>
      <c r="P146" s="160" t="s">
        <v>26</v>
      </c>
      <c r="Q146" s="160"/>
      <c r="R146" s="160" t="s">
        <v>26</v>
      </c>
      <c r="S146" s="160"/>
      <c r="T146" s="61"/>
      <c r="U146" s="61"/>
    </row>
    <row r="147" spans="1:31" x14ac:dyDescent="0.25">
      <c r="A147" s="234"/>
      <c r="B147" s="291"/>
      <c r="C147" s="189" t="s">
        <v>27</v>
      </c>
      <c r="D147" s="37" t="s">
        <v>24</v>
      </c>
      <c r="E147" s="165"/>
      <c r="F147" s="165"/>
      <c r="G147" s="160">
        <v>0</v>
      </c>
      <c r="H147" s="165">
        <v>0</v>
      </c>
      <c r="I147" s="165">
        <v>0</v>
      </c>
      <c r="J147" s="61">
        <f>K147</f>
        <v>71944.38</v>
      </c>
      <c r="K147" s="61">
        <v>71944.38</v>
      </c>
      <c r="L147" s="160" t="s">
        <v>26</v>
      </c>
      <c r="M147" s="160" t="s">
        <v>26</v>
      </c>
      <c r="N147" s="6">
        <f>O147</f>
        <v>0</v>
      </c>
      <c r="O147" s="6">
        <f>G147*K147</f>
        <v>0</v>
      </c>
      <c r="P147" s="160" t="s">
        <v>26</v>
      </c>
      <c r="Q147" s="160"/>
      <c r="R147" s="160" t="s">
        <v>26</v>
      </c>
      <c r="S147" s="160"/>
      <c r="T147" s="61">
        <f>H147*K147</f>
        <v>0</v>
      </c>
      <c r="U147" s="61">
        <f>I147*K147</f>
        <v>0</v>
      </c>
    </row>
    <row r="148" spans="1:31" x14ac:dyDescent="0.25">
      <c r="A148" s="234"/>
      <c r="B148" s="291"/>
      <c r="C148" s="189" t="s">
        <v>29</v>
      </c>
      <c r="D148" s="37" t="s">
        <v>24</v>
      </c>
      <c r="E148" s="165">
        <f>2+1</f>
        <v>3</v>
      </c>
      <c r="F148" s="165">
        <v>4</v>
      </c>
      <c r="G148" s="160">
        <v>3</v>
      </c>
      <c r="H148" s="165">
        <v>3</v>
      </c>
      <c r="I148" s="165">
        <v>3</v>
      </c>
      <c r="J148" s="61">
        <f>K148</f>
        <v>119806.54</v>
      </c>
      <c r="K148" s="61">
        <v>119806.54</v>
      </c>
      <c r="L148" s="160" t="s">
        <v>26</v>
      </c>
      <c r="M148" s="160" t="s">
        <v>26</v>
      </c>
      <c r="N148" s="6">
        <f>O148</f>
        <v>359419.62</v>
      </c>
      <c r="O148" s="6">
        <f t="shared" ref="O148:O151" si="51">G148*K148</f>
        <v>359419.62</v>
      </c>
      <c r="P148" s="160" t="s">
        <v>26</v>
      </c>
      <c r="Q148" s="160"/>
      <c r="R148" s="160" t="s">
        <v>26</v>
      </c>
      <c r="S148" s="160"/>
      <c r="T148" s="61">
        <f>H148*K148</f>
        <v>359419.62</v>
      </c>
      <c r="U148" s="61">
        <f>I148*K148</f>
        <v>359419.62</v>
      </c>
    </row>
    <row r="149" spans="1:31" x14ac:dyDescent="0.25">
      <c r="A149" s="234"/>
      <c r="B149" s="291"/>
      <c r="C149" s="189" t="s">
        <v>31</v>
      </c>
      <c r="D149" s="37" t="s">
        <v>24</v>
      </c>
      <c r="E149" s="165">
        <f>3-1</f>
        <v>2</v>
      </c>
      <c r="F149" s="165">
        <v>1</v>
      </c>
      <c r="G149" s="160">
        <v>1</v>
      </c>
      <c r="H149" s="165">
        <v>1</v>
      </c>
      <c r="I149" s="165">
        <v>1</v>
      </c>
      <c r="J149" s="61">
        <f>K149</f>
        <v>310708.38</v>
      </c>
      <c r="K149" s="61">
        <v>310708.38</v>
      </c>
      <c r="L149" s="160" t="s">
        <v>26</v>
      </c>
      <c r="M149" s="160" t="s">
        <v>26</v>
      </c>
      <c r="N149" s="6">
        <f>O149</f>
        <v>310708.38</v>
      </c>
      <c r="O149" s="6">
        <f t="shared" si="51"/>
        <v>310708.38</v>
      </c>
      <c r="P149" s="160" t="s">
        <v>26</v>
      </c>
      <c r="Q149" s="160"/>
      <c r="R149" s="160"/>
      <c r="S149" s="160"/>
      <c r="T149" s="61">
        <f>H149*K149</f>
        <v>310708.38</v>
      </c>
      <c r="U149" s="61">
        <f>I149*K149</f>
        <v>310708.38</v>
      </c>
    </row>
    <row r="150" spans="1:31" x14ac:dyDescent="0.25">
      <c r="A150" s="234"/>
      <c r="B150" s="291"/>
      <c r="C150" s="189" t="s">
        <v>33</v>
      </c>
      <c r="D150" s="37" t="s">
        <v>24</v>
      </c>
      <c r="E150" s="165">
        <v>1</v>
      </c>
      <c r="F150" s="165">
        <v>1</v>
      </c>
      <c r="G150" s="160">
        <v>1</v>
      </c>
      <c r="H150" s="165">
        <v>1</v>
      </c>
      <c r="I150" s="165">
        <v>1</v>
      </c>
      <c r="J150" s="61">
        <f>K150</f>
        <v>26113.16</v>
      </c>
      <c r="K150" s="61">
        <v>26113.16</v>
      </c>
      <c r="L150" s="160" t="s">
        <v>26</v>
      </c>
      <c r="M150" s="160" t="s">
        <v>26</v>
      </c>
      <c r="N150" s="6">
        <f>O150</f>
        <v>26113.16</v>
      </c>
      <c r="O150" s="6">
        <f t="shared" si="51"/>
        <v>26113.16</v>
      </c>
      <c r="P150" s="160" t="s">
        <v>26</v>
      </c>
      <c r="Q150" s="160"/>
      <c r="R150" s="160"/>
      <c r="S150" s="160"/>
      <c r="T150" s="61">
        <f>H150*K150</f>
        <v>26113.16</v>
      </c>
      <c r="U150" s="61">
        <f>I150*K150</f>
        <v>26113.16</v>
      </c>
    </row>
    <row r="151" spans="1:31" x14ac:dyDescent="0.25">
      <c r="A151" s="234"/>
      <c r="B151" s="291"/>
      <c r="C151" s="189" t="s">
        <v>34</v>
      </c>
      <c r="D151" s="37" t="s">
        <v>24</v>
      </c>
      <c r="E151" s="165">
        <v>6</v>
      </c>
      <c r="F151" s="165">
        <v>10</v>
      </c>
      <c r="G151" s="160">
        <f>7-1</f>
        <v>6</v>
      </c>
      <c r="H151" s="165">
        <v>6</v>
      </c>
      <c r="I151" s="165">
        <v>6</v>
      </c>
      <c r="J151" s="61">
        <f>K151</f>
        <v>18697.54</v>
      </c>
      <c r="K151" s="61">
        <v>18697.54</v>
      </c>
      <c r="L151" s="160" t="s">
        <v>26</v>
      </c>
      <c r="M151" s="160" t="s">
        <v>26</v>
      </c>
      <c r="N151" s="6">
        <f>O151</f>
        <v>112185.24</v>
      </c>
      <c r="O151" s="6">
        <f t="shared" si="51"/>
        <v>112185.24</v>
      </c>
      <c r="P151" s="160" t="s">
        <v>26</v>
      </c>
      <c r="Q151" s="160"/>
      <c r="R151" s="160" t="s">
        <v>26</v>
      </c>
      <c r="S151" s="160"/>
      <c r="T151" s="61">
        <f>H151*K151</f>
        <v>112185.24</v>
      </c>
      <c r="U151" s="61">
        <f>I151*K151</f>
        <v>112185.24</v>
      </c>
    </row>
    <row r="152" spans="1:31" ht="82.9" customHeight="1" x14ac:dyDescent="0.25">
      <c r="A152" s="234"/>
      <c r="B152" s="292"/>
      <c r="C152" s="189" t="s">
        <v>35</v>
      </c>
      <c r="D152" s="37" t="s">
        <v>24</v>
      </c>
      <c r="E152" s="165">
        <v>3</v>
      </c>
      <c r="F152" s="165">
        <v>4</v>
      </c>
      <c r="G152" s="160">
        <v>4</v>
      </c>
      <c r="H152" s="165">
        <v>4</v>
      </c>
      <c r="I152" s="165">
        <v>4</v>
      </c>
      <c r="J152" s="61">
        <f>SUM(K152:M152)</f>
        <v>547942.24</v>
      </c>
      <c r="K152" s="61">
        <f>501729.82+2750.57</f>
        <v>504480.39</v>
      </c>
      <c r="L152" s="6">
        <v>14267.78</v>
      </c>
      <c r="M152" s="6">
        <v>29194.07</v>
      </c>
      <c r="N152" s="61">
        <f>SUM(O152:R152)</f>
        <v>2191768.96</v>
      </c>
      <c r="O152" s="6">
        <f>G152*K152</f>
        <v>2017921.56</v>
      </c>
      <c r="P152" s="6">
        <f>G152*L152</f>
        <v>57071.12</v>
      </c>
      <c r="Q152" s="61"/>
      <c r="R152" s="61">
        <f>G152*M152</f>
        <v>116776.28</v>
      </c>
      <c r="S152" s="61"/>
      <c r="T152" s="61">
        <f>W152</f>
        <v>2191768.96</v>
      </c>
      <c r="U152" s="61">
        <f>AB152</f>
        <v>2191768.96</v>
      </c>
      <c r="W152" s="61">
        <f>SUM(X152:AA152)</f>
        <v>2191768.96</v>
      </c>
      <c r="X152" s="61">
        <f>H152*K152</f>
        <v>2017921.56</v>
      </c>
      <c r="Y152" s="6">
        <f>H152*L152</f>
        <v>57071.12</v>
      </c>
      <c r="Z152" s="61">
        <f>H152*M152</f>
        <v>116776.28</v>
      </c>
      <c r="AB152" s="61">
        <f>SUM(AC152:AF152)</f>
        <v>2191768.96</v>
      </c>
      <c r="AC152" s="61">
        <f>I152*K152</f>
        <v>2017921.56</v>
      </c>
      <c r="AD152" s="6">
        <f>I152*L152</f>
        <v>57071.12</v>
      </c>
      <c r="AE152" s="61">
        <f>I152*M152</f>
        <v>116776.28</v>
      </c>
    </row>
    <row r="153" spans="1:31" ht="18.600000000000001" customHeight="1" x14ac:dyDescent="0.25">
      <c r="A153" s="234"/>
      <c r="B153" s="293"/>
      <c r="C153" s="297" t="s">
        <v>58</v>
      </c>
      <c r="D153" s="189" t="s">
        <v>59</v>
      </c>
      <c r="E153" s="4">
        <v>10</v>
      </c>
      <c r="F153" s="4">
        <v>10</v>
      </c>
      <c r="G153" s="309">
        <v>10</v>
      </c>
      <c r="H153" s="4">
        <v>10</v>
      </c>
      <c r="I153" s="4">
        <v>10</v>
      </c>
      <c r="J153" s="12">
        <f>SUM(K153:M153)</f>
        <v>234360</v>
      </c>
      <c r="K153" s="12">
        <f>10000*1.5*1.302*12</f>
        <v>234360</v>
      </c>
      <c r="L153" s="7"/>
      <c r="M153" s="7"/>
      <c r="N153" s="12">
        <f>SUM(O153:R153)</f>
        <v>2343600</v>
      </c>
      <c r="O153" s="7">
        <f>G153*K153</f>
        <v>2343600</v>
      </c>
      <c r="P153" s="7"/>
      <c r="Q153" s="12"/>
      <c r="R153" s="12"/>
      <c r="S153" s="12"/>
      <c r="T153" s="12">
        <f>H153*K153-2343600</f>
        <v>0</v>
      </c>
      <c r="U153" s="12">
        <f>I153*K153-2343600</f>
        <v>0</v>
      </c>
    </row>
    <row r="154" spans="1:31" ht="23.45" customHeight="1" x14ac:dyDescent="0.25">
      <c r="A154" s="234"/>
      <c r="B154" s="293"/>
      <c r="C154" s="297" t="s">
        <v>38</v>
      </c>
      <c r="D154" s="189"/>
      <c r="E154" s="195">
        <f>E144+E145+E152</f>
        <v>267</v>
      </c>
      <c r="F154" s="195">
        <f>F144+F145+F152</f>
        <v>273</v>
      </c>
      <c r="G154" s="195">
        <f>G144+G145+G152</f>
        <v>271</v>
      </c>
      <c r="H154" s="195">
        <f>H144+H145+H152</f>
        <v>271</v>
      </c>
      <c r="I154" s="195">
        <f>I144+I145+I152</f>
        <v>271</v>
      </c>
      <c r="J154" s="12" t="s">
        <v>26</v>
      </c>
      <c r="K154" s="12" t="s">
        <v>26</v>
      </c>
      <c r="L154" s="12" t="s">
        <v>26</v>
      </c>
      <c r="M154" s="12" t="s">
        <v>26</v>
      </c>
      <c r="N154" s="156">
        <f>SUM(N144:N153)</f>
        <v>32600026.039999999</v>
      </c>
      <c r="O154" s="156">
        <f t="shared" ref="O154:U154" si="52">SUM(O144:O153)</f>
        <v>20821864.690000001</v>
      </c>
      <c r="P154" s="156">
        <f t="shared" si="52"/>
        <v>3866568.3800000004</v>
      </c>
      <c r="Q154" s="156">
        <f t="shared" si="52"/>
        <v>0</v>
      </c>
      <c r="R154" s="156">
        <f t="shared" si="52"/>
        <v>7911592.9699999997</v>
      </c>
      <c r="S154" s="156">
        <f t="shared" si="52"/>
        <v>0</v>
      </c>
      <c r="T154" s="156">
        <f t="shared" si="52"/>
        <v>30256426.039999999</v>
      </c>
      <c r="U154" s="156">
        <f t="shared" si="52"/>
        <v>30256426.039999999</v>
      </c>
      <c r="W154" s="1" t="s">
        <v>539</v>
      </c>
    </row>
    <row r="155" spans="1:31" ht="73.150000000000006" customHeight="1" x14ac:dyDescent="0.25">
      <c r="A155" s="234"/>
      <c r="B155" s="290" t="s">
        <v>622</v>
      </c>
      <c r="C155" s="285" t="s">
        <v>23</v>
      </c>
      <c r="D155" s="37" t="s">
        <v>24</v>
      </c>
      <c r="E155" s="165">
        <v>43</v>
      </c>
      <c r="F155" s="165">
        <v>43</v>
      </c>
      <c r="G155" s="160">
        <v>43</v>
      </c>
      <c r="H155" s="165">
        <v>43</v>
      </c>
      <c r="I155" s="165">
        <v>43</v>
      </c>
      <c r="J155" s="6">
        <f>SUM(K155:M155)</f>
        <v>116333.35999999999</v>
      </c>
      <c r="K155" s="6">
        <f>70145.11+2726.4</f>
        <v>72871.509999999995</v>
      </c>
      <c r="L155" s="6">
        <v>14267.78</v>
      </c>
      <c r="M155" s="6">
        <v>29194.07</v>
      </c>
      <c r="N155" s="61">
        <f>SUM(O155:R155)</f>
        <v>5002334.4799999995</v>
      </c>
      <c r="O155" s="61">
        <f>G155*K155</f>
        <v>3133474.9299999997</v>
      </c>
      <c r="P155" s="6">
        <f>G155*L155</f>
        <v>613514.54</v>
      </c>
      <c r="Q155" s="61"/>
      <c r="R155" s="61">
        <f>G155*M155</f>
        <v>1255345.01</v>
      </c>
      <c r="S155" s="61"/>
      <c r="T155" s="61">
        <f>W155</f>
        <v>5002334.4799999995</v>
      </c>
      <c r="U155" s="61">
        <f>AB155</f>
        <v>5002334.4799999995</v>
      </c>
      <c r="W155" s="61">
        <f>SUM(X155:AA155)</f>
        <v>5002334.4799999995</v>
      </c>
      <c r="X155" s="61">
        <f>H155*K155</f>
        <v>3133474.9299999997</v>
      </c>
      <c r="Y155" s="6">
        <f>H155*L155</f>
        <v>613514.54</v>
      </c>
      <c r="Z155" s="61">
        <f>H155*M155</f>
        <v>1255345.01</v>
      </c>
      <c r="AA155" s="61">
        <f>P155*V155</f>
        <v>0</v>
      </c>
      <c r="AB155" s="61">
        <f>SUM(AC155:AF155)</f>
        <v>5002334.4799999995</v>
      </c>
      <c r="AC155" s="61">
        <f>I155*K155</f>
        <v>3133474.9299999997</v>
      </c>
      <c r="AD155" s="6">
        <f>I155*L155</f>
        <v>613514.54</v>
      </c>
      <c r="AE155" s="61">
        <f>I155*M155</f>
        <v>1255345.01</v>
      </c>
    </row>
    <row r="156" spans="1:31" ht="90" x14ac:dyDescent="0.25">
      <c r="A156" s="234"/>
      <c r="B156" s="291"/>
      <c r="C156" s="287" t="s">
        <v>25</v>
      </c>
      <c r="D156" s="37" t="s">
        <v>24</v>
      </c>
      <c r="E156" s="160" t="s">
        <v>26</v>
      </c>
      <c r="F156" s="160" t="s">
        <v>26</v>
      </c>
      <c r="G156" s="160" t="s">
        <v>26</v>
      </c>
      <c r="H156" s="160" t="s">
        <v>26</v>
      </c>
      <c r="I156" s="160" t="s">
        <v>26</v>
      </c>
      <c r="J156" s="160" t="s">
        <v>26</v>
      </c>
      <c r="K156" s="160" t="s">
        <v>26</v>
      </c>
      <c r="L156" s="160" t="s">
        <v>26</v>
      </c>
      <c r="M156" s="160" t="s">
        <v>26</v>
      </c>
      <c r="N156" s="6"/>
      <c r="O156" s="6"/>
      <c r="P156" s="160" t="s">
        <v>26</v>
      </c>
      <c r="Q156" s="160"/>
      <c r="R156" s="160" t="s">
        <v>26</v>
      </c>
      <c r="S156" s="160"/>
      <c r="T156" s="61"/>
      <c r="U156" s="61"/>
    </row>
    <row r="157" spans="1:31" x14ac:dyDescent="0.25">
      <c r="A157" s="234"/>
      <c r="B157" s="291"/>
      <c r="C157" s="287" t="s">
        <v>29</v>
      </c>
      <c r="D157" s="37" t="s">
        <v>24</v>
      </c>
      <c r="E157" s="165">
        <f>1-1</f>
        <v>0</v>
      </c>
      <c r="F157" s="165">
        <f>1-1</f>
        <v>0</v>
      </c>
      <c r="G157" s="160">
        <v>0</v>
      </c>
      <c r="H157" s="165">
        <v>0</v>
      </c>
      <c r="I157" s="165">
        <v>0</v>
      </c>
      <c r="J157" s="61">
        <f>K157</f>
        <v>122576.58</v>
      </c>
      <c r="K157" s="61">
        <v>122576.58</v>
      </c>
      <c r="L157" s="160" t="s">
        <v>26</v>
      </c>
      <c r="M157" s="160" t="s">
        <v>26</v>
      </c>
      <c r="N157" s="6">
        <f>O157</f>
        <v>0</v>
      </c>
      <c r="O157" s="6">
        <f>G157*K157</f>
        <v>0</v>
      </c>
      <c r="P157" s="160" t="s">
        <v>26</v>
      </c>
      <c r="Q157" s="160"/>
      <c r="R157" s="160" t="s">
        <v>26</v>
      </c>
      <c r="S157" s="160"/>
      <c r="T157" s="61">
        <f>H157*K157</f>
        <v>0</v>
      </c>
      <c r="U157" s="61">
        <f>I157*K157</f>
        <v>0</v>
      </c>
    </row>
    <row r="158" spans="1:31" ht="82.9" customHeight="1" x14ac:dyDescent="0.25">
      <c r="A158" s="234"/>
      <c r="B158" s="292"/>
      <c r="C158" s="287" t="s">
        <v>35</v>
      </c>
      <c r="D158" s="37" t="s">
        <v>24</v>
      </c>
      <c r="E158" s="165"/>
      <c r="F158" s="165">
        <v>0</v>
      </c>
      <c r="G158" s="308">
        <v>0</v>
      </c>
      <c r="H158" s="165">
        <v>0</v>
      </c>
      <c r="I158" s="165">
        <v>0</v>
      </c>
      <c r="J158" s="61">
        <f>SUM(K158:M158)</f>
        <v>603319.05000000005</v>
      </c>
      <c r="K158" s="61">
        <f>557130.8+2726.4</f>
        <v>559857.20000000007</v>
      </c>
      <c r="L158" s="6">
        <v>14267.78</v>
      </c>
      <c r="M158" s="6">
        <v>29194.07</v>
      </c>
      <c r="N158" s="61">
        <f>SUM(O158:R158)</f>
        <v>0</v>
      </c>
      <c r="O158" s="61">
        <f>G158*K158</f>
        <v>0</v>
      </c>
      <c r="P158" s="61">
        <f>G158*L158</f>
        <v>0</v>
      </c>
      <c r="Q158" s="61"/>
      <c r="R158" s="61">
        <f>G158*M158</f>
        <v>0</v>
      </c>
      <c r="S158" s="61"/>
      <c r="T158" s="61">
        <f>H158*J158</f>
        <v>0</v>
      </c>
      <c r="U158" s="61">
        <f>I158*J158</f>
        <v>0</v>
      </c>
    </row>
    <row r="159" spans="1:31" ht="17.45" customHeight="1" x14ac:dyDescent="0.25">
      <c r="A159" s="234"/>
      <c r="B159" s="293"/>
      <c r="C159" s="159" t="s">
        <v>58</v>
      </c>
      <c r="D159" s="37" t="s">
        <v>59</v>
      </c>
      <c r="E159" s="165">
        <v>2</v>
      </c>
      <c r="F159" s="165">
        <v>2</v>
      </c>
      <c r="G159" s="160">
        <v>2</v>
      </c>
      <c r="H159" s="165">
        <v>2</v>
      </c>
      <c r="I159" s="165">
        <v>2</v>
      </c>
      <c r="J159" s="61">
        <f>SUM(K159:M159)</f>
        <v>234360</v>
      </c>
      <c r="K159" s="61">
        <f>10000*1.5*1.302*12</f>
        <v>234360</v>
      </c>
      <c r="L159" s="6"/>
      <c r="M159" s="6"/>
      <c r="N159" s="61">
        <f>SUM(O159:R159)</f>
        <v>468720</v>
      </c>
      <c r="O159" s="61">
        <f>K159*G159</f>
        <v>468720</v>
      </c>
      <c r="P159" s="61"/>
      <c r="Q159" s="61"/>
      <c r="R159" s="61"/>
      <c r="S159" s="61"/>
      <c r="T159" s="61">
        <f>H159*K159-468720</f>
        <v>0</v>
      </c>
      <c r="U159" s="61">
        <f>I159*K159-468720</f>
        <v>0</v>
      </c>
    </row>
    <row r="160" spans="1:31" ht="27.6" customHeight="1" x14ac:dyDescent="0.25">
      <c r="A160" s="234"/>
      <c r="B160" s="293"/>
      <c r="C160" s="159" t="s">
        <v>38</v>
      </c>
      <c r="D160" s="37"/>
      <c r="E160" s="194">
        <f>E155+E158</f>
        <v>43</v>
      </c>
      <c r="F160" s="194">
        <f>F155+F158</f>
        <v>43</v>
      </c>
      <c r="G160" s="194">
        <f>G155+G158</f>
        <v>43</v>
      </c>
      <c r="H160" s="194">
        <f>H155+H158</f>
        <v>43</v>
      </c>
      <c r="I160" s="194">
        <f>I155+I158</f>
        <v>43</v>
      </c>
      <c r="J160" s="61" t="s">
        <v>26</v>
      </c>
      <c r="K160" s="61" t="s">
        <v>26</v>
      </c>
      <c r="L160" s="61" t="s">
        <v>26</v>
      </c>
      <c r="M160" s="61" t="s">
        <v>26</v>
      </c>
      <c r="N160" s="62">
        <f>SUM(N155:N159)</f>
        <v>5471054.4799999995</v>
      </c>
      <c r="O160" s="62">
        <f t="shared" ref="O160:U160" si="53">SUM(O155:O159)</f>
        <v>3602194.9299999997</v>
      </c>
      <c r="P160" s="62">
        <f t="shared" si="53"/>
        <v>613514.54</v>
      </c>
      <c r="Q160" s="62">
        <f t="shared" si="53"/>
        <v>0</v>
      </c>
      <c r="R160" s="62">
        <f t="shared" si="53"/>
        <v>1255345.01</v>
      </c>
      <c r="S160" s="62">
        <f t="shared" si="53"/>
        <v>0</v>
      </c>
      <c r="T160" s="62">
        <f t="shared" si="53"/>
        <v>5002334.4799999995</v>
      </c>
      <c r="U160" s="62">
        <f t="shared" si="53"/>
        <v>5002334.4799999995</v>
      </c>
    </row>
    <row r="161" spans="1:31" ht="52.9" customHeight="1" x14ac:dyDescent="0.25">
      <c r="A161" s="234"/>
      <c r="B161" s="229" t="s">
        <v>300</v>
      </c>
      <c r="C161" s="300" t="s">
        <v>41</v>
      </c>
      <c r="D161" s="37" t="s">
        <v>24</v>
      </c>
      <c r="E161" s="165">
        <f>884+263-284+298</f>
        <v>1161</v>
      </c>
      <c r="F161" s="165">
        <f>884+263+14</f>
        <v>1161</v>
      </c>
      <c r="G161" s="160">
        <f>958+203</f>
        <v>1161</v>
      </c>
      <c r="H161" s="165">
        <f>884+263-189+203</f>
        <v>1161</v>
      </c>
      <c r="I161" s="165">
        <f>884+263-189+203</f>
        <v>1161</v>
      </c>
      <c r="J161" s="61">
        <f>K161</f>
        <v>5125.76</v>
      </c>
      <c r="K161" s="61">
        <v>5125.76</v>
      </c>
      <c r="L161" s="61" t="s">
        <v>26</v>
      </c>
      <c r="M161" s="61" t="s">
        <v>26</v>
      </c>
      <c r="N161" s="61">
        <f>SUM(O161:R161)</f>
        <v>5951007.3600000003</v>
      </c>
      <c r="O161" s="61">
        <f>G161*K161</f>
        <v>5951007.3600000003</v>
      </c>
      <c r="P161" s="61" t="s">
        <v>26</v>
      </c>
      <c r="Q161" s="61"/>
      <c r="R161" s="61" t="s">
        <v>26</v>
      </c>
      <c r="S161" s="61"/>
      <c r="T161" s="61">
        <f>H161*J161</f>
        <v>5951007.3600000003</v>
      </c>
      <c r="U161" s="61">
        <f>I161*J161</f>
        <v>5951007.3600000003</v>
      </c>
    </row>
    <row r="162" spans="1:31" ht="48" customHeight="1" x14ac:dyDescent="0.25">
      <c r="A162" s="234"/>
      <c r="B162" s="230"/>
      <c r="C162" s="301"/>
      <c r="D162" s="37" t="s">
        <v>225</v>
      </c>
      <c r="E162" s="61">
        <v>46667</v>
      </c>
      <c r="F162" s="165">
        <v>46667</v>
      </c>
      <c r="G162" s="160">
        <v>51160</v>
      </c>
      <c r="H162" s="165">
        <f>46667+4493</f>
        <v>51160</v>
      </c>
      <c r="I162" s="165">
        <f>46667+4493</f>
        <v>51160</v>
      </c>
      <c r="J162" s="61">
        <f>K162</f>
        <v>116.32148866301799</v>
      </c>
      <c r="K162" s="61">
        <f>N162/G162</f>
        <v>116.32148866301799</v>
      </c>
      <c r="L162" s="61" t="s">
        <v>26</v>
      </c>
      <c r="M162" s="61" t="s">
        <v>26</v>
      </c>
      <c r="N162" s="61">
        <f>N161</f>
        <v>5951007.3600000003</v>
      </c>
      <c r="O162" s="61">
        <f>O161</f>
        <v>5951007.3600000003</v>
      </c>
      <c r="P162" s="61" t="s">
        <v>26</v>
      </c>
      <c r="Q162" s="61"/>
      <c r="R162" s="61" t="s">
        <v>26</v>
      </c>
      <c r="S162" s="61"/>
      <c r="T162" s="61">
        <f>T161/G162*H162</f>
        <v>5951007.3600000003</v>
      </c>
      <c r="U162" s="61">
        <f>U161/G162*I162</f>
        <v>5951007.3600000003</v>
      </c>
    </row>
    <row r="163" spans="1:31" ht="18.600000000000001" customHeight="1" x14ac:dyDescent="0.25">
      <c r="A163" s="234"/>
      <c r="B163" s="218"/>
      <c r="C163" s="297" t="s">
        <v>38</v>
      </c>
      <c r="D163" s="10"/>
      <c r="E163" s="165">
        <f>SUM(E161:E161)</f>
        <v>1161</v>
      </c>
      <c r="F163" s="165">
        <f>SUM(F161:F161)</f>
        <v>1161</v>
      </c>
      <c r="G163" s="165">
        <f>SUM(G161:G161)</f>
        <v>1161</v>
      </c>
      <c r="H163" s="165">
        <f>SUM(H161:H161)</f>
        <v>1161</v>
      </c>
      <c r="I163" s="165">
        <f>SUM(I161:I161)</f>
        <v>1161</v>
      </c>
      <c r="J163" s="61" t="s">
        <v>26</v>
      </c>
      <c r="K163" s="61" t="s">
        <v>26</v>
      </c>
      <c r="L163" s="61" t="s">
        <v>26</v>
      </c>
      <c r="M163" s="61">
        <f t="shared" ref="M163:U163" si="54">SUM(M161:M161)</f>
        <v>0</v>
      </c>
      <c r="N163" s="62">
        <f>SUM(N161:N161)</f>
        <v>5951007.3600000003</v>
      </c>
      <c r="O163" s="61">
        <f t="shared" si="54"/>
        <v>5951007.3600000003</v>
      </c>
      <c r="P163" s="61">
        <f t="shared" si="54"/>
        <v>0</v>
      </c>
      <c r="Q163" s="61"/>
      <c r="R163" s="61">
        <f t="shared" si="54"/>
        <v>0</v>
      </c>
      <c r="S163" s="61"/>
      <c r="T163" s="61">
        <f t="shared" si="54"/>
        <v>5951007.3600000003</v>
      </c>
      <c r="U163" s="61">
        <f t="shared" si="54"/>
        <v>5951007.3600000003</v>
      </c>
      <c r="V163" s="8"/>
      <c r="W163" s="8"/>
      <c r="X163" s="8"/>
    </row>
    <row r="164" spans="1:31" ht="28.5" x14ac:dyDescent="0.25">
      <c r="A164" s="234"/>
      <c r="B164" s="162" t="s">
        <v>45</v>
      </c>
      <c r="C164" s="9" t="s">
        <v>44</v>
      </c>
      <c r="D164" s="298" t="s">
        <v>46</v>
      </c>
      <c r="E164" s="165"/>
      <c r="F164" s="165"/>
      <c r="G164" s="160">
        <v>0</v>
      </c>
      <c r="H164" s="165"/>
      <c r="I164" s="165"/>
      <c r="J164" s="61"/>
      <c r="K164" s="61"/>
      <c r="L164" s="61">
        <v>263700.28000000003</v>
      </c>
      <c r="M164" s="61"/>
      <c r="N164" s="61">
        <f>P164</f>
        <v>0</v>
      </c>
      <c r="O164" s="61"/>
      <c r="P164" s="61">
        <f>G164*L164</f>
        <v>0</v>
      </c>
      <c r="Q164" s="61"/>
      <c r="R164" s="61"/>
      <c r="S164" s="61"/>
      <c r="T164" s="61">
        <f>P164</f>
        <v>0</v>
      </c>
      <c r="U164" s="61">
        <f t="shared" ref="U164:U170" si="55">T164</f>
        <v>0</v>
      </c>
      <c r="V164" s="8"/>
      <c r="W164" s="8"/>
    </row>
    <row r="165" spans="1:31" ht="28.5" hidden="1" x14ac:dyDescent="0.25">
      <c r="A165" s="234"/>
      <c r="B165" s="162" t="s">
        <v>45</v>
      </c>
      <c r="C165" s="9" t="s">
        <v>44</v>
      </c>
      <c r="D165" s="298" t="s">
        <v>46</v>
      </c>
      <c r="E165" s="165"/>
      <c r="F165" s="165"/>
      <c r="G165" s="160">
        <f t="shared" ref="G165:G167" si="56">((E165*8)+(F165*4))/12</f>
        <v>0</v>
      </c>
      <c r="H165" s="165">
        <v>14</v>
      </c>
      <c r="I165" s="165">
        <v>14</v>
      </c>
      <c r="J165" s="61"/>
      <c r="K165" s="61"/>
      <c r="L165" s="61"/>
      <c r="M165" s="61"/>
      <c r="N165" s="61">
        <f t="shared" ref="N165:N168" si="57">P165</f>
        <v>0</v>
      </c>
      <c r="O165" s="61"/>
      <c r="P165" s="61">
        <f t="shared" ref="P165:P168" si="58">G165*L165</f>
        <v>0</v>
      </c>
      <c r="Q165" s="61"/>
      <c r="R165" s="61"/>
      <c r="S165" s="61"/>
      <c r="T165" s="61"/>
      <c r="U165" s="61">
        <f t="shared" si="55"/>
        <v>0</v>
      </c>
    </row>
    <row r="166" spans="1:31" ht="28.5" hidden="1" x14ac:dyDescent="0.25">
      <c r="A166" s="234"/>
      <c r="B166" s="162" t="s">
        <v>45</v>
      </c>
      <c r="C166" s="9" t="s">
        <v>44</v>
      </c>
      <c r="D166" s="298" t="s">
        <v>46</v>
      </c>
      <c r="E166" s="165"/>
      <c r="F166" s="165"/>
      <c r="G166" s="160">
        <f t="shared" si="56"/>
        <v>0</v>
      </c>
      <c r="H166" s="165"/>
      <c r="I166" s="165"/>
      <c r="J166" s="61"/>
      <c r="K166" s="61"/>
      <c r="L166" s="61"/>
      <c r="M166" s="61"/>
      <c r="N166" s="61">
        <f t="shared" si="57"/>
        <v>0</v>
      </c>
      <c r="O166" s="61"/>
      <c r="P166" s="61">
        <f t="shared" si="58"/>
        <v>0</v>
      </c>
      <c r="Q166" s="61"/>
      <c r="R166" s="61"/>
      <c r="S166" s="61"/>
      <c r="T166" s="61">
        <f>Q166</f>
        <v>0</v>
      </c>
      <c r="U166" s="61">
        <f t="shared" si="55"/>
        <v>0</v>
      </c>
    </row>
    <row r="167" spans="1:31" ht="28.5" hidden="1" x14ac:dyDescent="0.25">
      <c r="A167" s="234"/>
      <c r="B167" s="162" t="s">
        <v>45</v>
      </c>
      <c r="C167" s="9" t="s">
        <v>44</v>
      </c>
      <c r="D167" s="298" t="s">
        <v>46</v>
      </c>
      <c r="E167" s="165"/>
      <c r="F167" s="165"/>
      <c r="G167" s="160">
        <f t="shared" si="56"/>
        <v>0</v>
      </c>
      <c r="H167" s="165">
        <v>14</v>
      </c>
      <c r="I167" s="165">
        <v>14</v>
      </c>
      <c r="J167" s="61"/>
      <c r="K167" s="61"/>
      <c r="L167" s="61"/>
      <c r="M167" s="61"/>
      <c r="N167" s="61">
        <f t="shared" si="57"/>
        <v>0</v>
      </c>
      <c r="O167" s="61"/>
      <c r="P167" s="61">
        <f t="shared" si="58"/>
        <v>0</v>
      </c>
      <c r="Q167" s="61"/>
      <c r="R167" s="61"/>
      <c r="S167" s="61"/>
      <c r="T167" s="61"/>
      <c r="U167" s="61"/>
    </row>
    <row r="168" spans="1:31" ht="28.5" x14ac:dyDescent="0.25">
      <c r="A168" s="234"/>
      <c r="B168" s="162" t="s">
        <v>45</v>
      </c>
      <c r="C168" s="9" t="s">
        <v>44</v>
      </c>
      <c r="D168" s="298" t="s">
        <v>46</v>
      </c>
      <c r="E168" s="165">
        <f>9-1</f>
        <v>8</v>
      </c>
      <c r="F168" s="165">
        <f>9-1</f>
        <v>8</v>
      </c>
      <c r="G168" s="160">
        <v>8</v>
      </c>
      <c r="H168" s="165">
        <f>9-1</f>
        <v>8</v>
      </c>
      <c r="I168" s="165">
        <f>9-1</f>
        <v>8</v>
      </c>
      <c r="J168" s="61"/>
      <c r="K168" s="61"/>
      <c r="L168" s="61">
        <v>316440.09999999998</v>
      </c>
      <c r="M168" s="61"/>
      <c r="N168" s="61">
        <f t="shared" si="57"/>
        <v>2531520.7999999998</v>
      </c>
      <c r="O168" s="61"/>
      <c r="P168" s="61">
        <f t="shared" si="58"/>
        <v>2531520.7999999998</v>
      </c>
      <c r="Q168" s="61"/>
      <c r="R168" s="61"/>
      <c r="S168" s="61"/>
      <c r="T168" s="61">
        <f>H168*L168</f>
        <v>2531520.7999999998</v>
      </c>
      <c r="U168" s="61">
        <f>I168*L168</f>
        <v>2531520.7999999998</v>
      </c>
    </row>
    <row r="169" spans="1:31" ht="14.45" customHeight="1" x14ac:dyDescent="0.25">
      <c r="A169" s="234"/>
      <c r="B169" s="9" t="s">
        <v>47</v>
      </c>
      <c r="C169" s="9" t="s">
        <v>44</v>
      </c>
      <c r="D169" s="37"/>
      <c r="E169" s="165">
        <v>20</v>
      </c>
      <c r="F169" s="165">
        <v>20</v>
      </c>
      <c r="G169" s="165">
        <v>20</v>
      </c>
      <c r="H169" s="165">
        <v>20</v>
      </c>
      <c r="I169" s="165">
        <v>20</v>
      </c>
      <c r="J169" s="61"/>
      <c r="K169" s="61"/>
      <c r="L169" s="61"/>
      <c r="M169" s="61"/>
      <c r="N169" s="61">
        <f>SUM(O169:R169)</f>
        <v>4687220</v>
      </c>
      <c r="O169" s="61">
        <f>O159+O153+O142</f>
        <v>4687220</v>
      </c>
      <c r="P169" s="61"/>
      <c r="Q169" s="61"/>
      <c r="R169" s="61"/>
      <c r="S169" s="61"/>
      <c r="T169" s="61">
        <f>T159+T153+T142</f>
        <v>0</v>
      </c>
      <c r="U169" s="61">
        <f>U159+U153+U142</f>
        <v>0</v>
      </c>
    </row>
    <row r="170" spans="1:31" hidden="1" x14ac:dyDescent="0.25">
      <c r="A170" s="234"/>
      <c r="B170" s="9" t="s">
        <v>48</v>
      </c>
      <c r="C170" s="9" t="s">
        <v>44</v>
      </c>
      <c r="D170" s="37"/>
      <c r="E170" s="165"/>
      <c r="F170" s="165"/>
      <c r="G170" s="165"/>
      <c r="H170" s="165"/>
      <c r="I170" s="165"/>
      <c r="J170" s="61"/>
      <c r="K170" s="61"/>
      <c r="L170" s="61"/>
      <c r="M170" s="61"/>
      <c r="N170" s="61">
        <f>O170</f>
        <v>0</v>
      </c>
      <c r="O170" s="61"/>
      <c r="P170" s="61"/>
      <c r="Q170" s="61"/>
      <c r="R170" s="61"/>
      <c r="S170" s="61"/>
      <c r="T170" s="61">
        <f>O170</f>
        <v>0</v>
      </c>
      <c r="U170" s="61">
        <f t="shared" si="55"/>
        <v>0</v>
      </c>
    </row>
    <row r="171" spans="1:31" hidden="1" x14ac:dyDescent="0.25">
      <c r="A171" s="234"/>
      <c r="B171" s="9" t="s">
        <v>49</v>
      </c>
      <c r="C171" s="9" t="s">
        <v>44</v>
      </c>
      <c r="D171" s="37"/>
      <c r="E171" s="165"/>
      <c r="F171" s="165"/>
      <c r="G171" s="165"/>
      <c r="H171" s="165"/>
      <c r="I171" s="165"/>
      <c r="J171" s="61"/>
      <c r="K171" s="61"/>
      <c r="L171" s="61"/>
      <c r="M171" s="61"/>
      <c r="N171" s="61">
        <f>P171</f>
        <v>0</v>
      </c>
      <c r="O171" s="61"/>
      <c r="P171" s="61"/>
      <c r="Q171" s="61"/>
      <c r="R171" s="61"/>
      <c r="S171" s="61"/>
      <c r="T171" s="61"/>
      <c r="U171" s="61">
        <f>T171</f>
        <v>0</v>
      </c>
    </row>
    <row r="172" spans="1:31" ht="26.45" customHeight="1" x14ac:dyDescent="0.25">
      <c r="A172" s="235"/>
      <c r="B172" s="9" t="s">
        <v>50</v>
      </c>
      <c r="C172" s="9"/>
      <c r="D172" s="10"/>
      <c r="E172" s="194">
        <f>E143+E154+E160</f>
        <v>521</v>
      </c>
      <c r="F172" s="194">
        <f>F143+F154+F160</f>
        <v>513</v>
      </c>
      <c r="G172" s="194">
        <f>G143+G154+G160</f>
        <v>513</v>
      </c>
      <c r="H172" s="194">
        <f>H143+H154+H160</f>
        <v>513</v>
      </c>
      <c r="I172" s="194">
        <f>I143+I154+I160</f>
        <v>513</v>
      </c>
      <c r="J172" s="62"/>
      <c r="K172" s="62"/>
      <c r="L172" s="62"/>
      <c r="M172" s="62"/>
      <c r="N172" s="62">
        <f>SUM(O172:S172)</f>
        <v>74060164.659999996</v>
      </c>
      <c r="O172" s="62">
        <f>O143+O154+O160+O163+O170</f>
        <v>49232714.809999995</v>
      </c>
      <c r="P172" s="62">
        <f>P143+P154+P160+P163+P164+P165+P166+P168+P171</f>
        <v>9850891.9400000013</v>
      </c>
      <c r="Q172" s="62">
        <f>Q143+Q154+Q160+Q163+Q164+Q165+Q166</f>
        <v>0</v>
      </c>
      <c r="R172" s="62">
        <f>R143+R154+R160+R163+R164+R165+R166+R167</f>
        <v>14976557.909999998</v>
      </c>
      <c r="S172" s="62">
        <f>S143+S154+S160+S163+S164+S165+S166+S167</f>
        <v>0</v>
      </c>
      <c r="T172" s="62">
        <f>T143+T154+T160+T163+T164+T165+T166+T167+T168+T169+T170+T171</f>
        <v>69372944.659999996</v>
      </c>
      <c r="U172" s="62">
        <f>U143+U154+U160+U163+U164+U165+U166+U167+U168+U169+U170+U171</f>
        <v>69372944.659999996</v>
      </c>
      <c r="X172" s="8"/>
      <c r="AB172" s="8"/>
    </row>
    <row r="173" spans="1:31" ht="73.150000000000006" customHeight="1" x14ac:dyDescent="0.25">
      <c r="A173" s="233" t="s">
        <v>61</v>
      </c>
      <c r="B173" s="290" t="s">
        <v>620</v>
      </c>
      <c r="C173" s="285" t="s">
        <v>23</v>
      </c>
      <c r="D173" s="37" t="s">
        <v>24</v>
      </c>
      <c r="E173" s="160">
        <v>309</v>
      </c>
      <c r="F173" s="160">
        <f>309-7</f>
        <v>302</v>
      </c>
      <c r="G173" s="160">
        <f>283+19</f>
        <v>302</v>
      </c>
      <c r="H173" s="160">
        <f>283+19</f>
        <v>302</v>
      </c>
      <c r="I173" s="160">
        <f>283+19</f>
        <v>302</v>
      </c>
      <c r="J173" s="6">
        <f>SUM(K173:M173)</f>
        <v>81778.579999999987</v>
      </c>
      <c r="K173" s="6">
        <f>36390.31+2198.86</f>
        <v>38589.17</v>
      </c>
      <c r="L173" s="6">
        <v>13995.34</v>
      </c>
      <c r="M173" s="6">
        <v>29194.07</v>
      </c>
      <c r="N173" s="6">
        <f>SUM(O173:R173)</f>
        <v>24697131.16</v>
      </c>
      <c r="O173" s="6">
        <f>G173*K173</f>
        <v>11653929.34</v>
      </c>
      <c r="P173" s="6">
        <f>G173*L173</f>
        <v>4226592.68</v>
      </c>
      <c r="Q173" s="6"/>
      <c r="R173" s="61">
        <f>G173*M173</f>
        <v>8816609.1400000006</v>
      </c>
      <c r="S173" s="61"/>
      <c r="T173" s="61">
        <f>W173</f>
        <v>24697131.16</v>
      </c>
      <c r="U173" s="61">
        <f>AB173</f>
        <v>24697131.16</v>
      </c>
      <c r="W173" s="61">
        <f>SUM(X173:AA173)</f>
        <v>24697131.16</v>
      </c>
      <c r="X173" s="61">
        <f>H173*K173</f>
        <v>11653929.34</v>
      </c>
      <c r="Y173" s="6">
        <f>H173*L173</f>
        <v>4226592.68</v>
      </c>
      <c r="Z173" s="61">
        <f>H173*M173</f>
        <v>8816609.1400000006</v>
      </c>
      <c r="AB173" s="61">
        <f>SUM(AC173:AF173)</f>
        <v>24697131.16</v>
      </c>
      <c r="AC173" s="61">
        <f>I173*K173</f>
        <v>11653929.34</v>
      </c>
      <c r="AD173" s="6">
        <f>I173*L173</f>
        <v>4226592.68</v>
      </c>
      <c r="AE173" s="61">
        <f>I173*M173</f>
        <v>8816609.1400000006</v>
      </c>
    </row>
    <row r="174" spans="1:31" ht="86.45" customHeight="1" x14ac:dyDescent="0.25">
      <c r="A174" s="234"/>
      <c r="B174" s="291"/>
      <c r="C174" s="285" t="s">
        <v>25</v>
      </c>
      <c r="D174" s="189" t="s">
        <v>24</v>
      </c>
      <c r="E174" s="160" t="s">
        <v>26</v>
      </c>
      <c r="F174" s="160" t="s">
        <v>26</v>
      </c>
      <c r="G174" s="160" t="s">
        <v>26</v>
      </c>
      <c r="H174" s="160" t="s">
        <v>26</v>
      </c>
      <c r="I174" s="160" t="s">
        <v>26</v>
      </c>
      <c r="J174" s="160" t="s">
        <v>26</v>
      </c>
      <c r="K174" s="160" t="s">
        <v>26</v>
      </c>
      <c r="L174" s="160" t="s">
        <v>26</v>
      </c>
      <c r="M174" s="160" t="s">
        <v>26</v>
      </c>
      <c r="N174" s="6"/>
      <c r="O174" s="6"/>
      <c r="P174" s="160" t="s">
        <v>26</v>
      </c>
      <c r="Q174" s="160"/>
      <c r="R174" s="160" t="s">
        <v>26</v>
      </c>
      <c r="S174" s="160"/>
      <c r="T174" s="61"/>
      <c r="U174" s="61"/>
      <c r="AB174" s="8"/>
    </row>
    <row r="175" spans="1:31" x14ac:dyDescent="0.25">
      <c r="A175" s="234"/>
      <c r="B175" s="291"/>
      <c r="C175" s="189" t="s">
        <v>27</v>
      </c>
      <c r="D175" s="189" t="s">
        <v>24</v>
      </c>
      <c r="E175" s="160"/>
      <c r="F175" s="160"/>
      <c r="G175" s="160"/>
      <c r="H175" s="160"/>
      <c r="I175" s="160"/>
      <c r="J175" s="61">
        <f t="shared" ref="J175:J181" si="59">K175</f>
        <v>148440.13</v>
      </c>
      <c r="K175" s="6">
        <v>148440.13</v>
      </c>
      <c r="L175" s="160" t="s">
        <v>26</v>
      </c>
      <c r="M175" s="160" t="s">
        <v>26</v>
      </c>
      <c r="N175" s="6">
        <f t="shared" ref="N175:N181" si="60">O175</f>
        <v>0</v>
      </c>
      <c r="O175" s="6">
        <f>G175*K175</f>
        <v>0</v>
      </c>
      <c r="P175" s="160" t="s">
        <v>26</v>
      </c>
      <c r="Q175" s="160"/>
      <c r="R175" s="160"/>
      <c r="S175" s="160"/>
      <c r="T175" s="61">
        <f t="shared" ref="T175:T181" si="61">H175*K175</f>
        <v>0</v>
      </c>
      <c r="U175" s="61">
        <f t="shared" ref="U175:U181" si="62">I175*K175</f>
        <v>0</v>
      </c>
      <c r="AB175" s="8"/>
    </row>
    <row r="176" spans="1:31" x14ac:dyDescent="0.25">
      <c r="A176" s="234"/>
      <c r="B176" s="291"/>
      <c r="C176" s="189" t="s">
        <v>28</v>
      </c>
      <c r="D176" s="189" t="s">
        <v>24</v>
      </c>
      <c r="E176" s="160">
        <f>16-2</f>
        <v>14</v>
      </c>
      <c r="F176" s="160">
        <f>16-3</f>
        <v>13</v>
      </c>
      <c r="G176" s="160">
        <f>13-1</f>
        <v>12</v>
      </c>
      <c r="H176" s="160">
        <v>12</v>
      </c>
      <c r="I176" s="160">
        <v>12</v>
      </c>
      <c r="J176" s="61">
        <f t="shared" si="59"/>
        <v>164394.18</v>
      </c>
      <c r="K176" s="6">
        <v>164394.18</v>
      </c>
      <c r="L176" s="160" t="s">
        <v>26</v>
      </c>
      <c r="M176" s="160" t="s">
        <v>26</v>
      </c>
      <c r="N176" s="6">
        <f t="shared" si="60"/>
        <v>1972730.16</v>
      </c>
      <c r="O176" s="6">
        <f t="shared" ref="O176:O181" si="63">G176*K176</f>
        <v>1972730.16</v>
      </c>
      <c r="P176" s="160" t="s">
        <v>26</v>
      </c>
      <c r="Q176" s="160"/>
      <c r="R176" s="160" t="s">
        <v>26</v>
      </c>
      <c r="S176" s="160"/>
      <c r="T176" s="61">
        <f t="shared" si="61"/>
        <v>1972730.16</v>
      </c>
      <c r="U176" s="61">
        <f t="shared" si="62"/>
        <v>1972730.16</v>
      </c>
      <c r="AB176" s="8"/>
    </row>
    <row r="177" spans="1:31" x14ac:dyDescent="0.25">
      <c r="A177" s="234"/>
      <c r="B177" s="291"/>
      <c r="C177" s="189" t="s">
        <v>29</v>
      </c>
      <c r="D177" s="189" t="s">
        <v>24</v>
      </c>
      <c r="E177" s="160"/>
      <c r="F177" s="160"/>
      <c r="G177" s="160"/>
      <c r="H177" s="160"/>
      <c r="I177" s="160"/>
      <c r="J177" s="61">
        <f t="shared" si="59"/>
        <v>196302.28</v>
      </c>
      <c r="K177" s="6">
        <v>196302.28</v>
      </c>
      <c r="L177" s="160" t="s">
        <v>26</v>
      </c>
      <c r="M177" s="160" t="s">
        <v>26</v>
      </c>
      <c r="N177" s="6">
        <f t="shared" si="60"/>
        <v>0</v>
      </c>
      <c r="O177" s="6">
        <f t="shared" si="63"/>
        <v>0</v>
      </c>
      <c r="P177" s="160"/>
      <c r="Q177" s="160"/>
      <c r="R177" s="160"/>
      <c r="S177" s="160"/>
      <c r="T177" s="61">
        <f>H177*K177</f>
        <v>0</v>
      </c>
      <c r="U177" s="61">
        <f t="shared" si="62"/>
        <v>0</v>
      </c>
    </row>
    <row r="178" spans="1:31" x14ac:dyDescent="0.25">
      <c r="A178" s="234"/>
      <c r="B178" s="291"/>
      <c r="C178" s="189" t="s">
        <v>30</v>
      </c>
      <c r="D178" s="189" t="s">
        <v>24</v>
      </c>
      <c r="E178" s="160">
        <f>11-2</f>
        <v>9</v>
      </c>
      <c r="F178" s="160">
        <f>11-5</f>
        <v>6</v>
      </c>
      <c r="G178" s="160">
        <f>9-3</f>
        <v>6</v>
      </c>
      <c r="H178" s="160">
        <v>6</v>
      </c>
      <c r="I178" s="160">
        <v>6</v>
      </c>
      <c r="J178" s="61">
        <f t="shared" si="59"/>
        <v>162574.21</v>
      </c>
      <c r="K178" s="61">
        <v>162574.21</v>
      </c>
      <c r="L178" s="160" t="s">
        <v>26</v>
      </c>
      <c r="M178" s="160" t="s">
        <v>26</v>
      </c>
      <c r="N178" s="6">
        <f t="shared" si="60"/>
        <v>975445.26</v>
      </c>
      <c r="O178" s="6">
        <f t="shared" si="63"/>
        <v>975445.26</v>
      </c>
      <c r="P178" s="160" t="s">
        <v>26</v>
      </c>
      <c r="Q178" s="160"/>
      <c r="R178" s="160" t="s">
        <v>26</v>
      </c>
      <c r="S178" s="160"/>
      <c r="T178" s="61">
        <f t="shared" si="61"/>
        <v>975445.26</v>
      </c>
      <c r="U178" s="61">
        <f t="shared" si="62"/>
        <v>975445.26</v>
      </c>
    </row>
    <row r="179" spans="1:31" x14ac:dyDescent="0.25">
      <c r="A179" s="234"/>
      <c r="B179" s="291"/>
      <c r="C179" s="189" t="s">
        <v>31</v>
      </c>
      <c r="D179" s="189" t="s">
        <v>24</v>
      </c>
      <c r="E179" s="160"/>
      <c r="F179" s="160">
        <v>1</v>
      </c>
      <c r="G179" s="160">
        <v>1</v>
      </c>
      <c r="H179" s="160">
        <v>1</v>
      </c>
      <c r="I179" s="160">
        <v>1</v>
      </c>
      <c r="J179" s="61">
        <f t="shared" si="59"/>
        <v>180348.22</v>
      </c>
      <c r="K179" s="61">
        <v>180348.22</v>
      </c>
      <c r="L179" s="160" t="s">
        <v>26</v>
      </c>
      <c r="M179" s="160" t="s">
        <v>26</v>
      </c>
      <c r="N179" s="6">
        <f t="shared" si="60"/>
        <v>180348.22</v>
      </c>
      <c r="O179" s="6">
        <f t="shared" si="63"/>
        <v>180348.22</v>
      </c>
      <c r="P179" s="160" t="s">
        <v>26</v>
      </c>
      <c r="Q179" s="160"/>
      <c r="R179" s="160" t="s">
        <v>26</v>
      </c>
      <c r="S179" s="160"/>
      <c r="T179" s="61">
        <f t="shared" si="61"/>
        <v>180348.22</v>
      </c>
      <c r="U179" s="61">
        <f t="shared" si="62"/>
        <v>180348.22</v>
      </c>
    </row>
    <row r="180" spans="1:31" x14ac:dyDescent="0.25">
      <c r="A180" s="234"/>
      <c r="B180" s="291"/>
      <c r="C180" s="189" t="s">
        <v>33</v>
      </c>
      <c r="D180" s="189" t="s">
        <v>24</v>
      </c>
      <c r="E180" s="160"/>
      <c r="F180" s="160"/>
      <c r="G180" s="160"/>
      <c r="H180" s="160"/>
      <c r="I180" s="160"/>
      <c r="J180" s="61">
        <f t="shared" si="59"/>
        <v>202178.64</v>
      </c>
      <c r="K180" s="61">
        <v>202178.64</v>
      </c>
      <c r="L180" s="160" t="s">
        <v>26</v>
      </c>
      <c r="M180" s="160" t="s">
        <v>26</v>
      </c>
      <c r="N180" s="6">
        <f t="shared" si="60"/>
        <v>0</v>
      </c>
      <c r="O180" s="6">
        <f t="shared" si="63"/>
        <v>0</v>
      </c>
      <c r="P180" s="160" t="s">
        <v>26</v>
      </c>
      <c r="Q180" s="160"/>
      <c r="R180" s="160" t="s">
        <v>26</v>
      </c>
      <c r="S180" s="160"/>
      <c r="T180" s="61">
        <f t="shared" si="61"/>
        <v>0</v>
      </c>
      <c r="U180" s="61">
        <f t="shared" si="62"/>
        <v>0</v>
      </c>
    </row>
    <row r="181" spans="1:31" x14ac:dyDescent="0.25">
      <c r="A181" s="234"/>
      <c r="B181" s="291"/>
      <c r="C181" s="189" t="s">
        <v>34</v>
      </c>
      <c r="D181" s="189" t="s">
        <v>24</v>
      </c>
      <c r="E181" s="160"/>
      <c r="F181" s="160"/>
      <c r="G181" s="160"/>
      <c r="H181" s="160"/>
      <c r="I181" s="160"/>
      <c r="J181" s="61">
        <f t="shared" si="59"/>
        <v>146900.85999999999</v>
      </c>
      <c r="K181" s="61">
        <v>146900.85999999999</v>
      </c>
      <c r="L181" s="160" t="s">
        <v>26</v>
      </c>
      <c r="M181" s="160" t="s">
        <v>26</v>
      </c>
      <c r="N181" s="6">
        <f t="shared" si="60"/>
        <v>0</v>
      </c>
      <c r="O181" s="6">
        <f t="shared" si="63"/>
        <v>0</v>
      </c>
      <c r="P181" s="160" t="s">
        <v>26</v>
      </c>
      <c r="Q181" s="160"/>
      <c r="R181" s="160" t="s">
        <v>26</v>
      </c>
      <c r="S181" s="160"/>
      <c r="T181" s="61">
        <f t="shared" si="61"/>
        <v>0</v>
      </c>
      <c r="U181" s="61">
        <f t="shared" si="62"/>
        <v>0</v>
      </c>
    </row>
    <row r="182" spans="1:31" ht="82.9" customHeight="1" x14ac:dyDescent="0.25">
      <c r="A182" s="234"/>
      <c r="B182" s="291"/>
      <c r="C182" s="287" t="s">
        <v>35</v>
      </c>
      <c r="D182" s="37" t="s">
        <v>24</v>
      </c>
      <c r="E182" s="160">
        <v>1</v>
      </c>
      <c r="F182" s="160">
        <v>1</v>
      </c>
      <c r="G182" s="160">
        <v>1</v>
      </c>
      <c r="H182" s="160">
        <v>1</v>
      </c>
      <c r="I182" s="160">
        <v>1</v>
      </c>
      <c r="J182" s="61">
        <f>SUM(K182:M182)</f>
        <v>490504.84</v>
      </c>
      <c r="K182" s="61">
        <f>445116.57+2198.86</f>
        <v>447315.43</v>
      </c>
      <c r="L182" s="6">
        <v>13995.34</v>
      </c>
      <c r="M182" s="6">
        <v>29194.07</v>
      </c>
      <c r="N182" s="6">
        <f>SUM(O182:R182)</f>
        <v>490504.84</v>
      </c>
      <c r="O182" s="6">
        <f>G182*K182</f>
        <v>447315.43</v>
      </c>
      <c r="P182" s="6">
        <f>G182*L182</f>
        <v>13995.34</v>
      </c>
      <c r="Q182" s="6"/>
      <c r="R182" s="61">
        <f>G182*M182</f>
        <v>29194.07</v>
      </c>
      <c r="S182" s="61"/>
      <c r="T182" s="61">
        <f>W182</f>
        <v>490504.84</v>
      </c>
      <c r="U182" s="61">
        <f>AB182</f>
        <v>490504.84</v>
      </c>
      <c r="W182" s="61">
        <f>SUM(X182:AA182)</f>
        <v>490504.84</v>
      </c>
      <c r="X182" s="61">
        <f>H182*K182</f>
        <v>447315.43</v>
      </c>
      <c r="Y182" s="6">
        <f>H182*L182</f>
        <v>13995.34</v>
      </c>
      <c r="Z182" s="61">
        <f>H182*M182</f>
        <v>29194.07</v>
      </c>
      <c r="AB182" s="61">
        <f>SUM(AC182:AF182)</f>
        <v>490504.84</v>
      </c>
      <c r="AC182" s="61">
        <f>I182*K182</f>
        <v>447315.43</v>
      </c>
      <c r="AD182" s="6">
        <f>I182*L182</f>
        <v>13995.34</v>
      </c>
      <c r="AE182" s="61">
        <f>I182*M182</f>
        <v>29194.07</v>
      </c>
    </row>
    <row r="183" spans="1:31" ht="82.9" customHeight="1" x14ac:dyDescent="0.25">
      <c r="A183" s="234"/>
      <c r="B183" s="291"/>
      <c r="C183" s="287" t="s">
        <v>62</v>
      </c>
      <c r="D183" s="37" t="s">
        <v>24</v>
      </c>
      <c r="E183" s="160">
        <v>0</v>
      </c>
      <c r="F183" s="160">
        <v>0</v>
      </c>
      <c r="G183" s="160">
        <v>0</v>
      </c>
      <c r="H183" s="160">
        <v>0</v>
      </c>
      <c r="I183" s="160">
        <v>0</v>
      </c>
      <c r="J183" s="61">
        <f>K183</f>
        <v>39242.36</v>
      </c>
      <c r="K183" s="61">
        <v>39242.36</v>
      </c>
      <c r="L183" s="61" t="s">
        <v>26</v>
      </c>
      <c r="M183" s="61" t="s">
        <v>26</v>
      </c>
      <c r="N183" s="6">
        <f>SUM(O183:R183)</f>
        <v>0</v>
      </c>
      <c r="O183" s="6">
        <f>G183*K183</f>
        <v>0</v>
      </c>
      <c r="P183" s="6"/>
      <c r="Q183" s="6"/>
      <c r="R183" s="6"/>
      <c r="S183" s="6"/>
      <c r="T183" s="61">
        <f>H183*J183</f>
        <v>0</v>
      </c>
      <c r="U183" s="61">
        <f>I183*J183</f>
        <v>0</v>
      </c>
      <c r="AB183" s="8"/>
    </row>
    <row r="184" spans="1:31" ht="21" customHeight="1" x14ac:dyDescent="0.25">
      <c r="A184" s="234"/>
      <c r="B184" s="291"/>
      <c r="C184" s="162" t="s">
        <v>58</v>
      </c>
      <c r="D184" s="37" t="s">
        <v>59</v>
      </c>
      <c r="E184" s="160">
        <v>12</v>
      </c>
      <c r="F184" s="160">
        <v>12</v>
      </c>
      <c r="G184" s="160">
        <v>12</v>
      </c>
      <c r="H184" s="160">
        <v>12</v>
      </c>
      <c r="I184" s="160">
        <v>12</v>
      </c>
      <c r="J184" s="61">
        <f>K184</f>
        <v>234360</v>
      </c>
      <c r="K184" s="61">
        <f>10000*1.5*1.302*12</f>
        <v>234360</v>
      </c>
      <c r="L184" s="61"/>
      <c r="M184" s="61"/>
      <c r="N184" s="6">
        <f>SUM(O184:R184)</f>
        <v>2812320</v>
      </c>
      <c r="O184" s="6">
        <f>G184*K184</f>
        <v>2812320</v>
      </c>
      <c r="P184" s="6"/>
      <c r="Q184" s="6"/>
      <c r="R184" s="6"/>
      <c r="S184" s="6"/>
      <c r="T184" s="61">
        <f>H184*K184-2812320</f>
        <v>0</v>
      </c>
      <c r="U184" s="61">
        <f>I184*K184-2812320</f>
        <v>0</v>
      </c>
      <c r="AB184" s="8"/>
    </row>
    <row r="185" spans="1:31" ht="26.45" customHeight="1" x14ac:dyDescent="0.25">
      <c r="A185" s="234"/>
      <c r="B185" s="292"/>
      <c r="C185" s="162" t="s">
        <v>38</v>
      </c>
      <c r="D185" s="37" t="s">
        <v>24</v>
      </c>
      <c r="E185" s="193">
        <f>E173+E182</f>
        <v>310</v>
      </c>
      <c r="F185" s="193">
        <f>F173+F182</f>
        <v>303</v>
      </c>
      <c r="G185" s="193">
        <f>G173+G182</f>
        <v>303</v>
      </c>
      <c r="H185" s="193">
        <f>H173+H182</f>
        <v>303</v>
      </c>
      <c r="I185" s="193">
        <f>I173+I182</f>
        <v>303</v>
      </c>
      <c r="J185" s="6" t="s">
        <v>26</v>
      </c>
      <c r="K185" s="6" t="s">
        <v>26</v>
      </c>
      <c r="L185" s="6" t="s">
        <v>26</v>
      </c>
      <c r="M185" s="6" t="s">
        <v>26</v>
      </c>
      <c r="N185" s="161">
        <f>SUM(N173:N184)</f>
        <v>31128479.640000001</v>
      </c>
      <c r="O185" s="161">
        <f t="shared" ref="O185:U185" si="64">SUM(O173:O184)</f>
        <v>18042088.41</v>
      </c>
      <c r="P185" s="161">
        <f t="shared" si="64"/>
        <v>4240588.0199999996</v>
      </c>
      <c r="Q185" s="161">
        <f t="shared" si="64"/>
        <v>0</v>
      </c>
      <c r="R185" s="161">
        <f t="shared" si="64"/>
        <v>8845803.2100000009</v>
      </c>
      <c r="S185" s="161">
        <f t="shared" si="64"/>
        <v>0</v>
      </c>
      <c r="T185" s="161">
        <f t="shared" si="64"/>
        <v>28316159.640000001</v>
      </c>
      <c r="U185" s="161">
        <f t="shared" si="64"/>
        <v>28316159.640000001</v>
      </c>
      <c r="AA185" s="8"/>
    </row>
    <row r="186" spans="1:31" ht="82.9" customHeight="1" x14ac:dyDescent="0.25">
      <c r="A186" s="234"/>
      <c r="B186" s="290" t="s">
        <v>627</v>
      </c>
      <c r="C186" s="285" t="s">
        <v>23</v>
      </c>
      <c r="D186" s="37" t="s">
        <v>24</v>
      </c>
      <c r="E186" s="160">
        <f>194+28</f>
        <v>222</v>
      </c>
      <c r="F186" s="160">
        <f>194-15</f>
        <v>179</v>
      </c>
      <c r="G186" s="160">
        <f>235+2</f>
        <v>237</v>
      </c>
      <c r="H186" s="160">
        <f>235+2</f>
        <v>237</v>
      </c>
      <c r="I186" s="160">
        <f>235+2</f>
        <v>237</v>
      </c>
      <c r="J186" s="6">
        <f>SUM(K186:M186)</f>
        <v>100085.29999999999</v>
      </c>
      <c r="K186" s="6">
        <f>54145.32+2750.57</f>
        <v>56895.89</v>
      </c>
      <c r="L186" s="6">
        <v>13995.34</v>
      </c>
      <c r="M186" s="6">
        <v>29194.07</v>
      </c>
      <c r="N186" s="6">
        <f>SUM(O186:R186)</f>
        <v>23720216.099999998</v>
      </c>
      <c r="O186" s="6">
        <f>G186*K186</f>
        <v>13484325.93</v>
      </c>
      <c r="P186" s="6">
        <f>G186*L186</f>
        <v>3316895.58</v>
      </c>
      <c r="Q186" s="6"/>
      <c r="R186" s="61">
        <f>G186*M186</f>
        <v>6918994.5899999999</v>
      </c>
      <c r="S186" s="61"/>
      <c r="T186" s="61">
        <f>W186</f>
        <v>23720216.099999998</v>
      </c>
      <c r="U186" s="61">
        <f>AB186</f>
        <v>23720216.099999998</v>
      </c>
      <c r="W186" s="61">
        <f>SUM(X186:AA186)</f>
        <v>23720216.099999998</v>
      </c>
      <c r="X186" s="61">
        <f>H186*K186</f>
        <v>13484325.93</v>
      </c>
      <c r="Y186" s="6">
        <f>H186*L186</f>
        <v>3316895.58</v>
      </c>
      <c r="Z186" s="61">
        <f>H186*M186</f>
        <v>6918994.5899999999</v>
      </c>
      <c r="AB186" s="61">
        <f>SUM(AC186:AF186)</f>
        <v>23720216.099999998</v>
      </c>
      <c r="AC186" s="61">
        <f>I186*K186</f>
        <v>13484325.93</v>
      </c>
      <c r="AD186" s="6">
        <f>I186*L186</f>
        <v>3316895.58</v>
      </c>
      <c r="AE186" s="61">
        <f>I186*M186</f>
        <v>6918994.5899999999</v>
      </c>
    </row>
    <row r="187" spans="1:31" ht="105" x14ac:dyDescent="0.25">
      <c r="A187" s="234"/>
      <c r="B187" s="291"/>
      <c r="C187" s="285" t="s">
        <v>63</v>
      </c>
      <c r="D187" s="37" t="s">
        <v>24</v>
      </c>
      <c r="E187" s="160">
        <f>182-29-60</f>
        <v>93</v>
      </c>
      <c r="F187" s="160">
        <f>182+16-60</f>
        <v>138</v>
      </c>
      <c r="G187" s="160">
        <f>141-60</f>
        <v>81</v>
      </c>
      <c r="H187" s="160">
        <f>141-60</f>
        <v>81</v>
      </c>
      <c r="I187" s="160">
        <f>141-60</f>
        <v>81</v>
      </c>
      <c r="J187" s="6">
        <f>SUM(K187:M187)</f>
        <v>106068.6</v>
      </c>
      <c r="K187" s="6">
        <f>60128.62+2750.57</f>
        <v>62879.19</v>
      </c>
      <c r="L187" s="6">
        <v>13995.34</v>
      </c>
      <c r="M187" s="6">
        <v>29194.07</v>
      </c>
      <c r="N187" s="6">
        <f>SUM(O187:R187)</f>
        <v>8591556.6000000015</v>
      </c>
      <c r="O187" s="6">
        <f>G187*K187</f>
        <v>5093214.3900000006</v>
      </c>
      <c r="P187" s="6">
        <f>G187*L187</f>
        <v>1133622.54</v>
      </c>
      <c r="Q187" s="6"/>
      <c r="R187" s="61">
        <f>G187*M187</f>
        <v>2364719.67</v>
      </c>
      <c r="S187" s="61"/>
      <c r="T187" s="61">
        <f>W187</f>
        <v>8591556.6000000015</v>
      </c>
      <c r="U187" s="61">
        <f>AB187</f>
        <v>8591556.6000000015</v>
      </c>
      <c r="W187" s="61">
        <f>SUM(X187:AA187)</f>
        <v>8591556.6000000015</v>
      </c>
      <c r="X187" s="61">
        <f>H187*K187</f>
        <v>5093214.3900000006</v>
      </c>
      <c r="Y187" s="6">
        <f>H187*L187</f>
        <v>1133622.54</v>
      </c>
      <c r="Z187" s="61">
        <f>H187*M187</f>
        <v>2364719.67</v>
      </c>
      <c r="AB187" s="61">
        <f>SUM(AC187:AF187)</f>
        <v>8591556.6000000015</v>
      </c>
      <c r="AC187" s="61">
        <f>I187*K187</f>
        <v>5093214.3900000006</v>
      </c>
      <c r="AD187" s="6">
        <f>I187*L187</f>
        <v>1133622.54</v>
      </c>
      <c r="AE187" s="61">
        <f>I187*M187</f>
        <v>2364719.67</v>
      </c>
    </row>
    <row r="188" spans="1:31" ht="104.25" x14ac:dyDescent="0.25">
      <c r="A188" s="234"/>
      <c r="B188" s="291"/>
      <c r="C188" s="76" t="s">
        <v>628</v>
      </c>
      <c r="D188" s="37"/>
      <c r="E188" s="160">
        <v>60</v>
      </c>
      <c r="F188" s="160">
        <v>60</v>
      </c>
      <c r="G188" s="160">
        <v>60</v>
      </c>
      <c r="H188" s="160">
        <v>60</v>
      </c>
      <c r="I188" s="160">
        <v>60</v>
      </c>
      <c r="J188" s="6">
        <f>SUM(K188:M188)</f>
        <v>172126.05000000002</v>
      </c>
      <c r="K188" s="6">
        <f>126186.07+2750.57</f>
        <v>128936.64000000001</v>
      </c>
      <c r="L188" s="6">
        <v>13995.34</v>
      </c>
      <c r="M188" s="6">
        <v>29194.07</v>
      </c>
      <c r="N188" s="6">
        <f>SUM(O188:R188)</f>
        <v>10327563</v>
      </c>
      <c r="O188" s="6">
        <f>G188*K188</f>
        <v>7736198.4000000004</v>
      </c>
      <c r="P188" s="6">
        <f>G188*L188</f>
        <v>839720.4</v>
      </c>
      <c r="Q188" s="6"/>
      <c r="R188" s="61">
        <f>G188*M188</f>
        <v>1751644.2</v>
      </c>
      <c r="S188" s="61"/>
      <c r="T188" s="61">
        <f>W188</f>
        <v>10327563</v>
      </c>
      <c r="U188" s="61">
        <f>AB188</f>
        <v>10327563</v>
      </c>
      <c r="W188" s="61">
        <f>SUM(X188:AA188)</f>
        <v>10327563</v>
      </c>
      <c r="X188" s="61">
        <f>H188*K188</f>
        <v>7736198.4000000004</v>
      </c>
      <c r="Y188" s="6">
        <f>H188*L188</f>
        <v>839720.4</v>
      </c>
      <c r="Z188" s="61">
        <f>H188*M188</f>
        <v>1751644.2</v>
      </c>
      <c r="AB188" s="61">
        <f>SUM(AC188:AF188)</f>
        <v>10327563</v>
      </c>
      <c r="AC188" s="61">
        <f>I188*K188</f>
        <v>7736198.4000000004</v>
      </c>
      <c r="AD188" s="6">
        <f>I188*L188</f>
        <v>839720.4</v>
      </c>
      <c r="AE188" s="61">
        <f>I188*M188</f>
        <v>1751644.2</v>
      </c>
    </row>
    <row r="189" spans="1:31" ht="90" x14ac:dyDescent="0.25">
      <c r="A189" s="234"/>
      <c r="B189" s="291"/>
      <c r="C189" s="287" t="s">
        <v>39</v>
      </c>
      <c r="D189" s="37" t="s">
        <v>24</v>
      </c>
      <c r="E189" s="160" t="s">
        <v>26</v>
      </c>
      <c r="F189" s="160" t="s">
        <v>26</v>
      </c>
      <c r="G189" s="160" t="s">
        <v>26</v>
      </c>
      <c r="H189" s="160" t="s">
        <v>26</v>
      </c>
      <c r="I189" s="160" t="s">
        <v>26</v>
      </c>
      <c r="J189" s="160" t="s">
        <v>26</v>
      </c>
      <c r="K189" s="160" t="s">
        <v>26</v>
      </c>
      <c r="L189" s="160" t="s">
        <v>26</v>
      </c>
      <c r="M189" s="160" t="s">
        <v>26</v>
      </c>
      <c r="N189" s="6"/>
      <c r="O189" s="6"/>
      <c r="P189" s="160" t="s">
        <v>26</v>
      </c>
      <c r="Q189" s="160"/>
      <c r="R189" s="160" t="s">
        <v>26</v>
      </c>
      <c r="S189" s="160"/>
      <c r="T189" s="61"/>
      <c r="U189" s="61"/>
      <c r="AB189" s="8"/>
    </row>
    <row r="190" spans="1:31" x14ac:dyDescent="0.25">
      <c r="A190" s="234"/>
      <c r="B190" s="291"/>
      <c r="C190" s="189" t="s">
        <v>57</v>
      </c>
      <c r="D190" s="37" t="s">
        <v>24</v>
      </c>
      <c r="E190" s="165"/>
      <c r="F190" s="165"/>
      <c r="G190" s="160"/>
      <c r="H190" s="165"/>
      <c r="I190" s="165"/>
      <c r="J190" s="61">
        <f>K190</f>
        <v>87898.44</v>
      </c>
      <c r="K190" s="61">
        <v>87898.44</v>
      </c>
      <c r="L190" s="160" t="s">
        <v>26</v>
      </c>
      <c r="M190" s="160" t="s">
        <v>26</v>
      </c>
      <c r="N190" s="6">
        <f>O190</f>
        <v>0</v>
      </c>
      <c r="O190" s="6">
        <f>G190*K190</f>
        <v>0</v>
      </c>
      <c r="P190" s="160" t="s">
        <v>26</v>
      </c>
      <c r="Q190" s="160"/>
      <c r="R190" s="160" t="s">
        <v>26</v>
      </c>
      <c r="S190" s="160"/>
      <c r="T190" s="61">
        <f>H190*K190</f>
        <v>0</v>
      </c>
      <c r="U190" s="61">
        <f>I190*K190</f>
        <v>0</v>
      </c>
      <c r="AB190" s="8"/>
    </row>
    <row r="191" spans="1:31" x14ac:dyDescent="0.25">
      <c r="A191" s="234"/>
      <c r="B191" s="291"/>
      <c r="C191" s="189" t="s">
        <v>27</v>
      </c>
      <c r="D191" s="37" t="s">
        <v>24</v>
      </c>
      <c r="E191" s="165">
        <v>0</v>
      </c>
      <c r="F191" s="165">
        <f>1-1</f>
        <v>0</v>
      </c>
      <c r="G191" s="160">
        <v>0</v>
      </c>
      <c r="H191" s="165">
        <f>1-1</f>
        <v>0</v>
      </c>
      <c r="I191" s="165">
        <f>1-1</f>
        <v>0</v>
      </c>
      <c r="J191" s="61">
        <f>K191</f>
        <v>71944.38</v>
      </c>
      <c r="K191" s="61">
        <v>71944.38</v>
      </c>
      <c r="L191" s="160" t="s">
        <v>26</v>
      </c>
      <c r="M191" s="160" t="s">
        <v>26</v>
      </c>
      <c r="N191" s="6">
        <f>O191</f>
        <v>0</v>
      </c>
      <c r="O191" s="6">
        <f t="shared" ref="O191:O193" si="65">G191*K191</f>
        <v>0</v>
      </c>
      <c r="P191" s="160" t="s">
        <v>26</v>
      </c>
      <c r="Q191" s="160"/>
      <c r="R191" s="160" t="s">
        <v>26</v>
      </c>
      <c r="S191" s="160"/>
      <c r="T191" s="61">
        <f>H191*K191</f>
        <v>0</v>
      </c>
      <c r="U191" s="61">
        <f>I191*K191</f>
        <v>0</v>
      </c>
      <c r="AB191" s="8"/>
    </row>
    <row r="192" spans="1:31" x14ac:dyDescent="0.25">
      <c r="A192" s="234"/>
      <c r="B192" s="291"/>
      <c r="C192" s="189" t="s">
        <v>31</v>
      </c>
      <c r="D192" s="37" t="s">
        <v>24</v>
      </c>
      <c r="E192" s="165">
        <v>1</v>
      </c>
      <c r="F192" s="165">
        <v>1</v>
      </c>
      <c r="G192" s="160">
        <v>1</v>
      </c>
      <c r="H192" s="165">
        <v>1</v>
      </c>
      <c r="I192" s="165">
        <v>1</v>
      </c>
      <c r="J192" s="61">
        <f>K192</f>
        <v>310708.38</v>
      </c>
      <c r="K192" s="61">
        <v>310708.38</v>
      </c>
      <c r="L192" s="160" t="s">
        <v>26</v>
      </c>
      <c r="M192" s="160" t="s">
        <v>26</v>
      </c>
      <c r="N192" s="6">
        <f>O192</f>
        <v>310708.38</v>
      </c>
      <c r="O192" s="6">
        <f t="shared" si="65"/>
        <v>310708.38</v>
      </c>
      <c r="P192" s="160" t="s">
        <v>26</v>
      </c>
      <c r="Q192" s="160"/>
      <c r="R192" s="160" t="s">
        <v>26</v>
      </c>
      <c r="S192" s="160"/>
      <c r="T192" s="61">
        <f>H192*K192</f>
        <v>310708.38</v>
      </c>
      <c r="U192" s="61">
        <f>I192*K192</f>
        <v>310708.38</v>
      </c>
    </row>
    <row r="193" spans="1:31" x14ac:dyDescent="0.25">
      <c r="A193" s="234"/>
      <c r="B193" s="291"/>
      <c r="C193" s="189" t="s">
        <v>34</v>
      </c>
      <c r="D193" s="37" t="s">
        <v>24</v>
      </c>
      <c r="E193" s="165">
        <v>1</v>
      </c>
      <c r="F193" s="165">
        <v>1</v>
      </c>
      <c r="G193" s="160">
        <v>1</v>
      </c>
      <c r="H193" s="165">
        <v>1</v>
      </c>
      <c r="I193" s="165">
        <v>1</v>
      </c>
      <c r="J193" s="61">
        <f>K193</f>
        <v>18697.54</v>
      </c>
      <c r="K193" s="61">
        <v>18697.54</v>
      </c>
      <c r="L193" s="160" t="s">
        <v>26</v>
      </c>
      <c r="M193" s="160" t="s">
        <v>26</v>
      </c>
      <c r="N193" s="6">
        <f>O193</f>
        <v>18697.54</v>
      </c>
      <c r="O193" s="6">
        <f t="shared" si="65"/>
        <v>18697.54</v>
      </c>
      <c r="P193" s="160" t="s">
        <v>26</v>
      </c>
      <c r="Q193" s="160"/>
      <c r="R193" s="160" t="s">
        <v>26</v>
      </c>
      <c r="S193" s="160"/>
      <c r="T193" s="61">
        <f>H193*K193</f>
        <v>18697.54</v>
      </c>
      <c r="U193" s="61">
        <f>I193*K193</f>
        <v>18697.54</v>
      </c>
      <c r="AB193" s="8"/>
    </row>
    <row r="194" spans="1:31" ht="82.9" customHeight="1" x14ac:dyDescent="0.25">
      <c r="A194" s="234"/>
      <c r="B194" s="291"/>
      <c r="C194" s="287" t="s">
        <v>35</v>
      </c>
      <c r="D194" s="37" t="s">
        <v>24</v>
      </c>
      <c r="E194" s="165">
        <v>1</v>
      </c>
      <c r="F194" s="165">
        <v>1</v>
      </c>
      <c r="G194" s="160">
        <v>0</v>
      </c>
      <c r="H194" s="165">
        <v>0</v>
      </c>
      <c r="I194" s="165">
        <v>0</v>
      </c>
      <c r="J194" s="61">
        <f>SUM(K194:M194)</f>
        <v>547669.80000000005</v>
      </c>
      <c r="K194" s="61">
        <f>501729.82+2750.57</f>
        <v>504480.39</v>
      </c>
      <c r="L194" s="6">
        <v>13995.34</v>
      </c>
      <c r="M194" s="6">
        <v>29194.07</v>
      </c>
      <c r="N194" s="61">
        <f>SUM(O194:R194)</f>
        <v>0</v>
      </c>
      <c r="O194" s="6">
        <f>G194*K194</f>
        <v>0</v>
      </c>
      <c r="P194" s="6">
        <f>G194*L194</f>
        <v>0</v>
      </c>
      <c r="Q194" s="61"/>
      <c r="R194" s="61">
        <f>G194*M194</f>
        <v>0</v>
      </c>
      <c r="S194" s="61"/>
      <c r="T194" s="61">
        <f>N194</f>
        <v>0</v>
      </c>
      <c r="U194" s="61">
        <f>T194</f>
        <v>0</v>
      </c>
    </row>
    <row r="195" spans="1:31" ht="82.9" customHeight="1" x14ac:dyDescent="0.25">
      <c r="A195" s="234"/>
      <c r="B195" s="291"/>
      <c r="C195" s="287" t="s">
        <v>62</v>
      </c>
      <c r="D195" s="37" t="s">
        <v>24</v>
      </c>
      <c r="E195" s="165">
        <v>0</v>
      </c>
      <c r="F195" s="165">
        <v>0</v>
      </c>
      <c r="G195" s="160">
        <v>0</v>
      </c>
      <c r="H195" s="165">
        <v>0</v>
      </c>
      <c r="I195" s="165">
        <v>0</v>
      </c>
      <c r="J195" s="61">
        <f>K195</f>
        <v>55400.98</v>
      </c>
      <c r="K195" s="61">
        <v>55400.98</v>
      </c>
      <c r="L195" s="61" t="s">
        <v>26</v>
      </c>
      <c r="M195" s="61" t="s">
        <v>26</v>
      </c>
      <c r="N195" s="61">
        <f>SUM(O195:R195)</f>
        <v>0</v>
      </c>
      <c r="O195" s="6">
        <f>G195*K195</f>
        <v>0</v>
      </c>
      <c r="P195" s="61"/>
      <c r="Q195" s="61"/>
      <c r="R195" s="61"/>
      <c r="S195" s="61"/>
      <c r="T195" s="61">
        <f>H195*J195</f>
        <v>0</v>
      </c>
      <c r="U195" s="61">
        <f>I195*J195</f>
        <v>0</v>
      </c>
    </row>
    <row r="196" spans="1:31" ht="13.9" customHeight="1" x14ac:dyDescent="0.25">
      <c r="A196" s="234"/>
      <c r="B196" s="291"/>
      <c r="C196" s="159" t="s">
        <v>58</v>
      </c>
      <c r="D196" s="37" t="s">
        <v>59</v>
      </c>
      <c r="E196" s="165">
        <v>15</v>
      </c>
      <c r="F196" s="165">
        <v>15</v>
      </c>
      <c r="G196" s="160">
        <v>15</v>
      </c>
      <c r="H196" s="165">
        <v>15</v>
      </c>
      <c r="I196" s="165">
        <v>15</v>
      </c>
      <c r="J196" s="61">
        <f>K196</f>
        <v>234360</v>
      </c>
      <c r="K196" s="61">
        <f>10000*1.5*1.302*12</f>
        <v>234360</v>
      </c>
      <c r="L196" s="61"/>
      <c r="M196" s="61"/>
      <c r="N196" s="61">
        <f>SUM(O196:R196)</f>
        <v>3515400</v>
      </c>
      <c r="O196" s="6">
        <f>G196*K196</f>
        <v>3515400</v>
      </c>
      <c r="P196" s="61"/>
      <c r="Q196" s="61"/>
      <c r="R196" s="61"/>
      <c r="S196" s="61"/>
      <c r="T196" s="61">
        <f>H196*K196-3515400</f>
        <v>0</v>
      </c>
      <c r="U196" s="61">
        <f>I196*K196-3515400</f>
        <v>0</v>
      </c>
    </row>
    <row r="197" spans="1:31" ht="31.9" customHeight="1" x14ac:dyDescent="0.25">
      <c r="A197" s="234"/>
      <c r="B197" s="292"/>
      <c r="C197" s="162" t="s">
        <v>38</v>
      </c>
      <c r="D197" s="37"/>
      <c r="E197" s="194">
        <f>E186++E187+E194</f>
        <v>316</v>
      </c>
      <c r="F197" s="194">
        <f>F186++F187+F194</f>
        <v>318</v>
      </c>
      <c r="G197" s="194">
        <f>G186+G187+G188+G194</f>
        <v>378</v>
      </c>
      <c r="H197" s="194">
        <f>H186+H187+H188+H194</f>
        <v>378</v>
      </c>
      <c r="I197" s="194">
        <f>I186+I187+I188+I194</f>
        <v>378</v>
      </c>
      <c r="J197" s="61" t="s">
        <v>26</v>
      </c>
      <c r="K197" s="61" t="s">
        <v>26</v>
      </c>
      <c r="L197" s="61" t="s">
        <v>26</v>
      </c>
      <c r="M197" s="61" t="s">
        <v>26</v>
      </c>
      <c r="N197" s="62">
        <f>SUM(N186:N196)</f>
        <v>46484141.620000005</v>
      </c>
      <c r="O197" s="62">
        <f t="shared" ref="O197:U197" si="66">SUM(O186:O196)</f>
        <v>30158544.639999997</v>
      </c>
      <c r="P197" s="62">
        <f t="shared" si="66"/>
        <v>5290238.5200000005</v>
      </c>
      <c r="Q197" s="62">
        <f t="shared" si="66"/>
        <v>0</v>
      </c>
      <c r="R197" s="62">
        <f t="shared" si="66"/>
        <v>11035358.459999999</v>
      </c>
      <c r="S197" s="62">
        <f t="shared" si="66"/>
        <v>0</v>
      </c>
      <c r="T197" s="62">
        <f t="shared" si="66"/>
        <v>42968741.620000005</v>
      </c>
      <c r="U197" s="62">
        <f t="shared" si="66"/>
        <v>42968741.620000005</v>
      </c>
      <c r="AA197" s="8"/>
    </row>
    <row r="198" spans="1:31" ht="73.150000000000006" customHeight="1" x14ac:dyDescent="0.25">
      <c r="A198" s="234"/>
      <c r="B198" s="290" t="s">
        <v>629</v>
      </c>
      <c r="C198" s="285" t="s">
        <v>23</v>
      </c>
      <c r="D198" s="37" t="s">
        <v>24</v>
      </c>
      <c r="E198" s="165">
        <f>44</f>
        <v>44</v>
      </c>
      <c r="F198" s="165">
        <f>44+12</f>
        <v>56</v>
      </c>
      <c r="G198" s="160">
        <f>56</f>
        <v>56</v>
      </c>
      <c r="H198" s="160">
        <f>56</f>
        <v>56</v>
      </c>
      <c r="I198" s="160">
        <f>56</f>
        <v>56</v>
      </c>
      <c r="J198" s="6">
        <f>SUM(K198:M198)</f>
        <v>116060.91999999998</v>
      </c>
      <c r="K198" s="6">
        <f>70145.11+2726.4</f>
        <v>72871.509999999995</v>
      </c>
      <c r="L198" s="6">
        <v>13995.34</v>
      </c>
      <c r="M198" s="6">
        <v>29194.07</v>
      </c>
      <c r="N198" s="61">
        <f>SUM(O198:R198)</f>
        <v>6499411.5199999996</v>
      </c>
      <c r="O198" s="61">
        <f>G198*K198</f>
        <v>4080804.5599999996</v>
      </c>
      <c r="P198" s="6">
        <f>G198*L198</f>
        <v>783739.04</v>
      </c>
      <c r="Q198" s="61"/>
      <c r="R198" s="61">
        <f>G198*M198</f>
        <v>1634867.92</v>
      </c>
      <c r="S198" s="61"/>
      <c r="T198" s="61">
        <f>W198</f>
        <v>6499411.5199999996</v>
      </c>
      <c r="U198" s="61">
        <f>AB198</f>
        <v>6499411.5199999996</v>
      </c>
      <c r="W198" s="61">
        <f>SUM(X198:AA198)</f>
        <v>6499411.5199999996</v>
      </c>
      <c r="X198" s="61">
        <f>H198*K198</f>
        <v>4080804.5599999996</v>
      </c>
      <c r="Y198" s="6">
        <f>H198*L198</f>
        <v>783739.04</v>
      </c>
      <c r="Z198" s="61">
        <f>H198*M198</f>
        <v>1634867.92</v>
      </c>
      <c r="AB198" s="61">
        <f>SUM(AC198:AF198)</f>
        <v>6499411.5199999996</v>
      </c>
      <c r="AC198" s="61">
        <f>I198*K198</f>
        <v>4080804.5599999996</v>
      </c>
      <c r="AD198" s="6">
        <f>I198*L198</f>
        <v>783739.04</v>
      </c>
      <c r="AE198" s="61">
        <f>I198*M198</f>
        <v>1634867.92</v>
      </c>
    </row>
    <row r="199" spans="1:31" ht="104.25" x14ac:dyDescent="0.25">
      <c r="A199" s="234"/>
      <c r="B199" s="291"/>
      <c r="C199" s="76" t="s">
        <v>630</v>
      </c>
      <c r="D199" s="37" t="s">
        <v>24</v>
      </c>
      <c r="E199" s="165">
        <f>50</f>
        <v>50</v>
      </c>
      <c r="F199" s="165">
        <f>50-25</f>
        <v>25</v>
      </c>
      <c r="G199" s="160">
        <f>42-17</f>
        <v>25</v>
      </c>
      <c r="H199" s="165">
        <v>25</v>
      </c>
      <c r="I199" s="165">
        <v>25</v>
      </c>
      <c r="J199" s="6">
        <f>SUM(K199:M199)</f>
        <v>172101.88</v>
      </c>
      <c r="K199" s="6">
        <f>126186.07+2726.4</f>
        <v>128912.47</v>
      </c>
      <c r="L199" s="6">
        <v>13995.34</v>
      </c>
      <c r="M199" s="6">
        <v>29194.07</v>
      </c>
      <c r="N199" s="61">
        <f>SUM(O199:R199)</f>
        <v>4302547</v>
      </c>
      <c r="O199" s="61">
        <f>G199*K199</f>
        <v>3222811.75</v>
      </c>
      <c r="P199" s="6">
        <f>G199*L199</f>
        <v>349883.5</v>
      </c>
      <c r="Q199" s="61"/>
      <c r="R199" s="61">
        <f>G199*M199</f>
        <v>729851.75</v>
      </c>
      <c r="S199" s="61"/>
      <c r="T199" s="61">
        <f>W199</f>
        <v>4302547</v>
      </c>
      <c r="U199" s="61">
        <f>AB199</f>
        <v>4302547</v>
      </c>
      <c r="W199" s="61">
        <f>SUM(X199:AA199)</f>
        <v>4302547</v>
      </c>
      <c r="X199" s="61">
        <f>H199*K199</f>
        <v>3222811.75</v>
      </c>
      <c r="Y199" s="6">
        <f>H199*L199</f>
        <v>349883.5</v>
      </c>
      <c r="Z199" s="61">
        <f>H199*M199</f>
        <v>729851.75</v>
      </c>
      <c r="AB199" s="61">
        <f>SUM(AC199:AF199)</f>
        <v>4302547</v>
      </c>
      <c r="AC199" s="61">
        <f>I199*K199</f>
        <v>3222811.75</v>
      </c>
      <c r="AD199" s="6">
        <f>I199*L199</f>
        <v>349883.5</v>
      </c>
      <c r="AE199" s="61">
        <f>I199*M199</f>
        <v>729851.75</v>
      </c>
    </row>
    <row r="200" spans="1:31" ht="90" x14ac:dyDescent="0.25">
      <c r="A200" s="234"/>
      <c r="B200" s="291"/>
      <c r="C200" s="287" t="s">
        <v>39</v>
      </c>
      <c r="D200" s="37" t="s">
        <v>24</v>
      </c>
      <c r="E200" s="160" t="s">
        <v>26</v>
      </c>
      <c r="F200" s="160" t="s">
        <v>26</v>
      </c>
      <c r="G200" s="160" t="s">
        <v>26</v>
      </c>
      <c r="H200" s="160" t="s">
        <v>26</v>
      </c>
      <c r="I200" s="160" t="s">
        <v>26</v>
      </c>
      <c r="J200" s="160" t="s">
        <v>26</v>
      </c>
      <c r="K200" s="160" t="s">
        <v>26</v>
      </c>
      <c r="L200" s="160" t="s">
        <v>26</v>
      </c>
      <c r="M200" s="160" t="s">
        <v>26</v>
      </c>
      <c r="N200" s="6"/>
      <c r="O200" s="6"/>
      <c r="P200" s="160" t="s">
        <v>26</v>
      </c>
      <c r="Q200" s="160"/>
      <c r="R200" s="160" t="s">
        <v>26</v>
      </c>
      <c r="S200" s="160"/>
      <c r="T200" s="61"/>
      <c r="U200" s="61"/>
    </row>
    <row r="201" spans="1:31" x14ac:dyDescent="0.25">
      <c r="A201" s="234"/>
      <c r="B201" s="291"/>
      <c r="C201" s="37" t="s">
        <v>27</v>
      </c>
      <c r="D201" s="37" t="s">
        <v>24</v>
      </c>
      <c r="E201" s="160">
        <v>1</v>
      </c>
      <c r="F201" s="193">
        <v>1</v>
      </c>
      <c r="G201" s="160">
        <v>0</v>
      </c>
      <c r="H201" s="160">
        <v>0</v>
      </c>
      <c r="I201" s="160">
        <v>0</v>
      </c>
      <c r="J201" s="160">
        <f>K201</f>
        <v>74714.429999999993</v>
      </c>
      <c r="K201" s="6">
        <v>74714.429999999993</v>
      </c>
      <c r="L201" s="160"/>
      <c r="M201" s="160"/>
      <c r="N201" s="6">
        <f>O201</f>
        <v>0</v>
      </c>
      <c r="O201" s="6">
        <f>G201*K201</f>
        <v>0</v>
      </c>
      <c r="P201" s="160"/>
      <c r="Q201" s="160"/>
      <c r="R201" s="160"/>
      <c r="S201" s="160"/>
      <c r="T201" s="61">
        <f>H201*K201</f>
        <v>0</v>
      </c>
      <c r="U201" s="61">
        <f>I201*K201</f>
        <v>0</v>
      </c>
    </row>
    <row r="202" spans="1:31" ht="24" customHeight="1" x14ac:dyDescent="0.25">
      <c r="A202" s="234"/>
      <c r="B202" s="291"/>
      <c r="C202" s="37" t="s">
        <v>29</v>
      </c>
      <c r="D202" s="37" t="s">
        <v>24</v>
      </c>
      <c r="E202" s="165">
        <v>1</v>
      </c>
      <c r="F202" s="165">
        <f>1-1</f>
        <v>0</v>
      </c>
      <c r="G202" s="160">
        <v>0</v>
      </c>
      <c r="H202" s="165">
        <f>1-1</f>
        <v>0</v>
      </c>
      <c r="I202" s="165">
        <f>1-1</f>
        <v>0</v>
      </c>
      <c r="J202" s="61">
        <f>K202</f>
        <v>122576.58</v>
      </c>
      <c r="K202" s="61">
        <v>122576.58</v>
      </c>
      <c r="L202" s="160" t="s">
        <v>26</v>
      </c>
      <c r="M202" s="160" t="s">
        <v>26</v>
      </c>
      <c r="N202" s="6">
        <f>O202</f>
        <v>0</v>
      </c>
      <c r="O202" s="6">
        <f>G202*K202</f>
        <v>0</v>
      </c>
      <c r="P202" s="160" t="s">
        <v>26</v>
      </c>
      <c r="Q202" s="160"/>
      <c r="R202" s="160" t="s">
        <v>26</v>
      </c>
      <c r="S202" s="160"/>
      <c r="T202" s="61">
        <f>H202*K202</f>
        <v>0</v>
      </c>
      <c r="U202" s="61">
        <f>I202*K202</f>
        <v>0</v>
      </c>
      <c r="AB202" s="8"/>
    </row>
    <row r="203" spans="1:31" ht="82.9" customHeight="1" x14ac:dyDescent="0.25">
      <c r="A203" s="234"/>
      <c r="B203" s="291"/>
      <c r="C203" s="285" t="s">
        <v>35</v>
      </c>
      <c r="D203" s="37" t="s">
        <v>24</v>
      </c>
      <c r="E203" s="165">
        <v>2</v>
      </c>
      <c r="F203" s="194">
        <f>2-1</f>
        <v>1</v>
      </c>
      <c r="G203" s="160">
        <f>2-1</f>
        <v>1</v>
      </c>
      <c r="H203" s="165">
        <f>2-1</f>
        <v>1</v>
      </c>
      <c r="I203" s="165">
        <f>2-1</f>
        <v>1</v>
      </c>
      <c r="J203" s="6">
        <f>SUM(K203:M203)</f>
        <v>603046.61</v>
      </c>
      <c r="K203" s="61">
        <f>557130.8+2726.4</f>
        <v>559857.20000000007</v>
      </c>
      <c r="L203" s="6">
        <v>13995.34</v>
      </c>
      <c r="M203" s="6">
        <v>29194.07</v>
      </c>
      <c r="N203" s="61">
        <f>SUM(O203:R203)</f>
        <v>603046.61</v>
      </c>
      <c r="O203" s="61">
        <f>G203*K203</f>
        <v>559857.20000000007</v>
      </c>
      <c r="P203" s="6">
        <f>G203*L203</f>
        <v>13995.34</v>
      </c>
      <c r="Q203" s="61"/>
      <c r="R203" s="61">
        <f>G203*M203</f>
        <v>29194.07</v>
      </c>
      <c r="S203" s="61"/>
      <c r="T203" s="61">
        <f>H203*J203</f>
        <v>603046.61</v>
      </c>
      <c r="U203" s="61">
        <f>I203*J203</f>
        <v>603046.61</v>
      </c>
      <c r="AB203" s="8"/>
      <c r="AC203" s="8"/>
    </row>
    <row r="204" spans="1:31" ht="19.149999999999999" customHeight="1" x14ac:dyDescent="0.25">
      <c r="A204" s="234"/>
      <c r="B204" s="291"/>
      <c r="C204" s="162" t="s">
        <v>58</v>
      </c>
      <c r="D204" s="37" t="s">
        <v>59</v>
      </c>
      <c r="E204" s="165">
        <v>4</v>
      </c>
      <c r="F204" s="165">
        <v>4</v>
      </c>
      <c r="G204" s="160">
        <v>4</v>
      </c>
      <c r="H204" s="165">
        <v>4</v>
      </c>
      <c r="I204" s="165">
        <v>4</v>
      </c>
      <c r="J204" s="61">
        <f>SUM(K204:M204)</f>
        <v>234360</v>
      </c>
      <c r="K204" s="61">
        <f>10000*1.5*1.302*12</f>
        <v>234360</v>
      </c>
      <c r="L204" s="6"/>
      <c r="M204" s="6"/>
      <c r="N204" s="61">
        <f>SUM(O204:R204)</f>
        <v>937440</v>
      </c>
      <c r="O204" s="61">
        <f>G204*K204</f>
        <v>937440</v>
      </c>
      <c r="P204" s="6"/>
      <c r="Q204" s="61"/>
      <c r="R204" s="61"/>
      <c r="S204" s="61"/>
      <c r="T204" s="61">
        <f>H204*K204-937440</f>
        <v>0</v>
      </c>
      <c r="U204" s="61">
        <f>I204*K204-937440</f>
        <v>0</v>
      </c>
      <c r="AB204" s="8"/>
      <c r="AC204" s="8"/>
    </row>
    <row r="205" spans="1:31" ht="26.45" customHeight="1" x14ac:dyDescent="0.25">
      <c r="A205" s="234"/>
      <c r="B205" s="292"/>
      <c r="C205" s="162" t="s">
        <v>38</v>
      </c>
      <c r="D205" s="37"/>
      <c r="E205" s="194">
        <f>E198+E203+E199</f>
        <v>96</v>
      </c>
      <c r="F205" s="194">
        <f>F198+F203+F199</f>
        <v>82</v>
      </c>
      <c r="G205" s="194">
        <f>G198+G203+G199</f>
        <v>82</v>
      </c>
      <c r="H205" s="194">
        <f>H198+H203+H199</f>
        <v>82</v>
      </c>
      <c r="I205" s="194">
        <f>I198+I203+I199</f>
        <v>82</v>
      </c>
      <c r="J205" s="61" t="s">
        <v>26</v>
      </c>
      <c r="K205" s="61" t="s">
        <v>26</v>
      </c>
      <c r="L205" s="61" t="s">
        <v>26</v>
      </c>
      <c r="M205" s="61" t="s">
        <v>26</v>
      </c>
      <c r="N205" s="62">
        <f>SUM(N198:N204)</f>
        <v>12342445.129999999</v>
      </c>
      <c r="O205" s="62">
        <f t="shared" ref="O205:U205" si="67">SUM(O198:O204)</f>
        <v>8800913.5099999998</v>
      </c>
      <c r="P205" s="62">
        <f t="shared" si="67"/>
        <v>1147617.8800000001</v>
      </c>
      <c r="Q205" s="62">
        <f t="shared" si="67"/>
        <v>0</v>
      </c>
      <c r="R205" s="62">
        <f t="shared" si="67"/>
        <v>2393913.7399999998</v>
      </c>
      <c r="S205" s="62">
        <f t="shared" si="67"/>
        <v>0</v>
      </c>
      <c r="T205" s="62">
        <f t="shared" si="67"/>
        <v>11405005.129999999</v>
      </c>
      <c r="U205" s="62">
        <f t="shared" si="67"/>
        <v>11405005.129999999</v>
      </c>
      <c r="V205" s="8"/>
      <c r="W205" s="8"/>
      <c r="X205" s="8"/>
      <c r="AA205" s="8"/>
      <c r="AB205" s="8"/>
    </row>
    <row r="206" spans="1:31" ht="58.9" customHeight="1" x14ac:dyDescent="0.25">
      <c r="A206" s="234"/>
      <c r="B206" s="229" t="s">
        <v>109</v>
      </c>
      <c r="C206" s="295" t="s">
        <v>64</v>
      </c>
      <c r="D206" s="37" t="s">
        <v>24</v>
      </c>
      <c r="E206" s="165">
        <f>2309-109+106-51</f>
        <v>2255</v>
      </c>
      <c r="F206" s="165">
        <f>2309-109+55</f>
        <v>2255</v>
      </c>
      <c r="G206" s="160">
        <v>2255</v>
      </c>
      <c r="H206" s="165">
        <v>2255</v>
      </c>
      <c r="I206" s="165">
        <v>2255</v>
      </c>
      <c r="J206" s="61">
        <f>K206</f>
        <v>5125.76</v>
      </c>
      <c r="K206" s="61">
        <v>5125.76</v>
      </c>
      <c r="L206" s="61" t="s">
        <v>26</v>
      </c>
      <c r="M206" s="61" t="s">
        <v>26</v>
      </c>
      <c r="N206" s="61">
        <f>SUM(O206:R206)</f>
        <v>11558588.800000001</v>
      </c>
      <c r="O206" s="61">
        <f>G206*K206</f>
        <v>11558588.800000001</v>
      </c>
      <c r="P206" s="61">
        <v>0</v>
      </c>
      <c r="Q206" s="61"/>
      <c r="R206" s="61">
        <v>0</v>
      </c>
      <c r="S206" s="61"/>
      <c r="T206" s="61">
        <f>H206*J206</f>
        <v>11558588.800000001</v>
      </c>
      <c r="U206" s="61">
        <f>I206*J206</f>
        <v>11558588.800000001</v>
      </c>
      <c r="V206" s="163"/>
      <c r="W206" s="163"/>
      <c r="X206" s="8"/>
      <c r="Y206" s="11"/>
    </row>
    <row r="207" spans="1:31" ht="43.9" customHeight="1" x14ac:dyDescent="0.25">
      <c r="A207" s="234"/>
      <c r="B207" s="239"/>
      <c r="C207" s="296"/>
      <c r="D207" s="37" t="s">
        <v>225</v>
      </c>
      <c r="E207" s="310">
        <v>226446.8</v>
      </c>
      <c r="F207" s="310">
        <v>226446.8</v>
      </c>
      <c r="G207" s="310">
        <f>224200-4492</f>
        <v>219708</v>
      </c>
      <c r="H207" s="310">
        <f t="shared" ref="H207:I207" si="68">224200-4492</f>
        <v>219708</v>
      </c>
      <c r="I207" s="310">
        <f t="shared" si="68"/>
        <v>219708</v>
      </c>
      <c r="J207" s="61">
        <f>K207</f>
        <v>52.608866313470607</v>
      </c>
      <c r="K207" s="61">
        <f>N207/G207</f>
        <v>52.608866313470607</v>
      </c>
      <c r="L207" s="61" t="s">
        <v>26</v>
      </c>
      <c r="M207" s="61" t="s">
        <v>26</v>
      </c>
      <c r="N207" s="61">
        <f>N206</f>
        <v>11558588.800000001</v>
      </c>
      <c r="O207" s="61">
        <f>O206</f>
        <v>11558588.800000001</v>
      </c>
      <c r="P207" s="61" t="s">
        <v>26</v>
      </c>
      <c r="Q207" s="61"/>
      <c r="R207" s="61" t="s">
        <v>26</v>
      </c>
      <c r="S207" s="61"/>
      <c r="T207" s="61">
        <f>T206/G207*H207</f>
        <v>11558588.800000001</v>
      </c>
      <c r="U207" s="61">
        <f>U206/G207*I207</f>
        <v>11558588.800000001</v>
      </c>
      <c r="V207" s="163"/>
      <c r="W207" s="163"/>
      <c r="X207" s="8"/>
      <c r="Y207" s="11"/>
    </row>
    <row r="208" spans="1:31" ht="120" hidden="1" x14ac:dyDescent="0.25">
      <c r="A208" s="234"/>
      <c r="B208" s="230"/>
      <c r="C208" s="285" t="s">
        <v>65</v>
      </c>
      <c r="D208" s="37" t="s">
        <v>24</v>
      </c>
      <c r="E208" s="165">
        <v>495</v>
      </c>
      <c r="F208" s="165">
        <v>495</v>
      </c>
      <c r="G208" s="160">
        <v>495</v>
      </c>
      <c r="H208" s="160">
        <v>495</v>
      </c>
      <c r="I208" s="160">
        <v>495</v>
      </c>
      <c r="J208" s="61" t="s">
        <v>26</v>
      </c>
      <c r="K208" s="61" t="s">
        <v>26</v>
      </c>
      <c r="L208" s="61" t="s">
        <v>26</v>
      </c>
      <c r="M208" s="61">
        <v>0</v>
      </c>
      <c r="N208" s="61">
        <f>R208</f>
        <v>0</v>
      </c>
      <c r="O208" s="61">
        <v>0</v>
      </c>
      <c r="P208" s="61">
        <v>0</v>
      </c>
      <c r="Q208" s="61"/>
      <c r="R208" s="61">
        <f>G208*M208</f>
        <v>0</v>
      </c>
      <c r="S208" s="61"/>
      <c r="T208" s="61">
        <f>N208</f>
        <v>0</v>
      </c>
      <c r="U208" s="61">
        <f t="shared" ref="U208:U212" si="69">T208</f>
        <v>0</v>
      </c>
      <c r="V208" s="163"/>
      <c r="W208" s="163"/>
      <c r="Y208" s="8"/>
      <c r="Z208" s="1">
        <f>Y208/G217</f>
        <v>0</v>
      </c>
      <c r="AA208" s="1">
        <f>Z208*Y206</f>
        <v>0</v>
      </c>
    </row>
    <row r="209" spans="1:31" ht="13.9" customHeight="1" x14ac:dyDescent="0.25">
      <c r="A209" s="234"/>
      <c r="B209" s="218"/>
      <c r="C209" s="63" t="s">
        <v>38</v>
      </c>
      <c r="D209" s="10"/>
      <c r="E209" s="165">
        <f>SUM(E206:E206)</f>
        <v>2255</v>
      </c>
      <c r="F209" s="165">
        <f t="shared" ref="F209:G209" si="70">SUM(F206:F206)</f>
        <v>2255</v>
      </c>
      <c r="G209" s="165">
        <f t="shared" si="70"/>
        <v>2255</v>
      </c>
      <c r="H209" s="165">
        <f>SUM(H206:H206)</f>
        <v>2255</v>
      </c>
      <c r="I209" s="165">
        <f>SUM(I206:I206)</f>
        <v>2255</v>
      </c>
      <c r="J209" s="61" t="s">
        <v>26</v>
      </c>
      <c r="K209" s="61" t="s">
        <v>26</v>
      </c>
      <c r="L209" s="61" t="s">
        <v>26</v>
      </c>
      <c r="M209" s="61">
        <f>SUM(M206:M206)</f>
        <v>0</v>
      </c>
      <c r="N209" s="62">
        <f>N206+N208</f>
        <v>11558588.800000001</v>
      </c>
      <c r="O209" s="61">
        <f>O206+O208</f>
        <v>11558588.800000001</v>
      </c>
      <c r="P209" s="61">
        <f>P206+P208</f>
        <v>0</v>
      </c>
      <c r="Q209" s="61"/>
      <c r="R209" s="61">
        <f>R206+R208</f>
        <v>0</v>
      </c>
      <c r="S209" s="61"/>
      <c r="T209" s="61">
        <f>T206+T208</f>
        <v>11558588.800000001</v>
      </c>
      <c r="U209" s="61">
        <f>U206+U208</f>
        <v>11558588.800000001</v>
      </c>
      <c r="V209" s="163"/>
      <c r="W209" s="163"/>
      <c r="AA209" s="8">
        <f>AA208+R208</f>
        <v>0</v>
      </c>
    </row>
    <row r="210" spans="1:31" ht="31.15" customHeight="1" x14ac:dyDescent="0.25">
      <c r="A210" s="234"/>
      <c r="B210" s="63" t="s">
        <v>45</v>
      </c>
      <c r="C210" s="63" t="s">
        <v>44</v>
      </c>
      <c r="D210" s="298" t="s">
        <v>46</v>
      </c>
      <c r="E210" s="165">
        <v>4</v>
      </c>
      <c r="F210" s="165">
        <v>4</v>
      </c>
      <c r="G210" s="160">
        <v>4</v>
      </c>
      <c r="H210" s="165">
        <v>4</v>
      </c>
      <c r="I210" s="165">
        <v>4</v>
      </c>
      <c r="J210" s="61"/>
      <c r="K210" s="61"/>
      <c r="L210" s="61">
        <v>316440.09999999998</v>
      </c>
      <c r="M210" s="61"/>
      <c r="N210" s="61">
        <f>P210</f>
        <v>1265760.3999999999</v>
      </c>
      <c r="O210" s="61"/>
      <c r="P210" s="61">
        <f>G210*L210</f>
        <v>1265760.3999999999</v>
      </c>
      <c r="Q210" s="61"/>
      <c r="R210" s="61"/>
      <c r="S210" s="61"/>
      <c r="T210" s="61">
        <f>H210*L210</f>
        <v>1265760.3999999999</v>
      </c>
      <c r="U210" s="61">
        <f>I210*L210</f>
        <v>1265760.3999999999</v>
      </c>
      <c r="V210" s="163"/>
      <c r="W210" s="163"/>
      <c r="AA210" s="8"/>
    </row>
    <row r="211" spans="1:31" ht="13.9" customHeight="1" x14ac:dyDescent="0.25">
      <c r="A211" s="234"/>
      <c r="B211" s="218" t="s">
        <v>66</v>
      </c>
      <c r="C211" s="63" t="s">
        <v>44</v>
      </c>
      <c r="D211" s="298" t="s">
        <v>46</v>
      </c>
      <c r="E211" s="165">
        <v>1</v>
      </c>
      <c r="F211" s="165">
        <v>1</v>
      </c>
      <c r="G211" s="160">
        <v>1</v>
      </c>
      <c r="H211" s="165">
        <v>1</v>
      </c>
      <c r="I211" s="165">
        <v>1</v>
      </c>
      <c r="J211" s="61"/>
      <c r="K211" s="61"/>
      <c r="L211" s="61">
        <v>2613705.66</v>
      </c>
      <c r="M211" s="61"/>
      <c r="N211" s="61">
        <f>P211</f>
        <v>2843862.588</v>
      </c>
      <c r="O211" s="61"/>
      <c r="P211" s="61">
        <f>L211+39957.8*(764-476)/50</f>
        <v>2843862.588</v>
      </c>
      <c r="Q211" s="61"/>
      <c r="R211" s="61"/>
      <c r="S211" s="61"/>
      <c r="T211" s="61">
        <f>H211*L211</f>
        <v>2613705.66</v>
      </c>
      <c r="U211" s="61">
        <f>I211*L211</f>
        <v>2613705.66</v>
      </c>
      <c r="V211" s="164"/>
      <c r="W211" s="164"/>
    </row>
    <row r="212" spans="1:31" ht="13.9" customHeight="1" x14ac:dyDescent="0.25">
      <c r="A212" s="234"/>
      <c r="B212" s="218" t="s">
        <v>67</v>
      </c>
      <c r="C212" s="10" t="s">
        <v>44</v>
      </c>
      <c r="D212" s="37"/>
      <c r="E212" s="165"/>
      <c r="F212" s="165"/>
      <c r="G212" s="165"/>
      <c r="H212" s="165"/>
      <c r="I212" s="165"/>
      <c r="J212" s="61"/>
      <c r="K212" s="61"/>
      <c r="L212" s="61"/>
      <c r="M212" s="61"/>
      <c r="N212" s="61">
        <f>P212</f>
        <v>0</v>
      </c>
      <c r="O212" s="61"/>
      <c r="P212" s="61">
        <f>L212*(807.27-476)/50</f>
        <v>0</v>
      </c>
      <c r="Q212" s="61"/>
      <c r="R212" s="61"/>
      <c r="S212" s="61"/>
      <c r="T212" s="61">
        <f>N212</f>
        <v>0</v>
      </c>
      <c r="U212" s="61">
        <f t="shared" si="69"/>
        <v>0</v>
      </c>
      <c r="V212" s="164"/>
      <c r="W212" s="164"/>
    </row>
    <row r="213" spans="1:31" hidden="1" x14ac:dyDescent="0.25">
      <c r="A213" s="234"/>
      <c r="B213" s="218" t="s">
        <v>55</v>
      </c>
      <c r="C213" s="218" t="s">
        <v>54</v>
      </c>
      <c r="D213" s="189"/>
      <c r="E213" s="4"/>
      <c r="F213" s="4"/>
      <c r="G213" s="4"/>
      <c r="H213" s="4"/>
      <c r="I213" s="4"/>
      <c r="J213" s="12"/>
      <c r="K213" s="12"/>
      <c r="L213" s="61">
        <v>39062.44</v>
      </c>
      <c r="M213" s="12"/>
      <c r="N213" s="12">
        <f>S213</f>
        <v>0</v>
      </c>
      <c r="O213" s="12"/>
      <c r="P213" s="157"/>
      <c r="Q213" s="12"/>
      <c r="R213" s="12"/>
      <c r="S213" s="12"/>
      <c r="T213" s="12"/>
      <c r="U213" s="12"/>
      <c r="V213" s="8"/>
      <c r="W213" s="8"/>
    </row>
    <row r="214" spans="1:31" ht="13.9" customHeight="1" x14ac:dyDescent="0.25">
      <c r="A214" s="234"/>
      <c r="B214" s="218" t="s">
        <v>47</v>
      </c>
      <c r="C214" s="218" t="s">
        <v>44</v>
      </c>
      <c r="D214" s="189"/>
      <c r="E214" s="4">
        <v>31</v>
      </c>
      <c r="F214" s="4">
        <v>31</v>
      </c>
      <c r="G214" s="4">
        <v>31</v>
      </c>
      <c r="H214" s="4">
        <v>31</v>
      </c>
      <c r="I214" s="4">
        <v>31</v>
      </c>
      <c r="J214" s="12"/>
      <c r="K214" s="12"/>
      <c r="L214" s="61">
        <v>0</v>
      </c>
      <c r="M214" s="12"/>
      <c r="N214" s="61">
        <f>SUM(O214:R214)</f>
        <v>7265160</v>
      </c>
      <c r="O214" s="12">
        <f>O204+O196+O184</f>
        <v>7265160</v>
      </c>
      <c r="P214" s="12"/>
      <c r="Q214" s="12"/>
      <c r="R214" s="12"/>
      <c r="S214" s="12"/>
      <c r="T214" s="12">
        <v>3632580</v>
      </c>
      <c r="U214" s="12">
        <f>T214</f>
        <v>3632580</v>
      </c>
      <c r="V214" s="8"/>
      <c r="W214" s="8"/>
    </row>
    <row r="215" spans="1:31" ht="13.9" hidden="1" customHeight="1" x14ac:dyDescent="0.25">
      <c r="A215" s="234"/>
      <c r="B215" s="218" t="s">
        <v>48</v>
      </c>
      <c r="C215" s="218" t="s">
        <v>44</v>
      </c>
      <c r="D215" s="189"/>
      <c r="E215" s="4"/>
      <c r="F215" s="4"/>
      <c r="G215" s="4"/>
      <c r="H215" s="4"/>
      <c r="I215" s="4"/>
      <c r="J215" s="12"/>
      <c r="K215" s="12"/>
      <c r="L215" s="12"/>
      <c r="M215" s="12"/>
      <c r="N215" s="12">
        <f>O215</f>
        <v>0</v>
      </c>
      <c r="O215" s="12"/>
      <c r="P215" s="12"/>
      <c r="Q215" s="12"/>
      <c r="R215" s="12"/>
      <c r="S215" s="12"/>
      <c r="T215" s="12">
        <f>O215</f>
        <v>0</v>
      </c>
      <c r="U215" s="12">
        <f>T215</f>
        <v>0</v>
      </c>
    </row>
    <row r="216" spans="1:31" ht="13.9" hidden="1" customHeight="1" x14ac:dyDescent="0.25">
      <c r="A216" s="234"/>
      <c r="B216" s="218" t="s">
        <v>49</v>
      </c>
      <c r="C216" s="218" t="s">
        <v>44</v>
      </c>
      <c r="D216" s="189"/>
      <c r="E216" s="4"/>
      <c r="F216" s="4"/>
      <c r="G216" s="4"/>
      <c r="H216" s="4"/>
      <c r="I216" s="4"/>
      <c r="J216" s="12"/>
      <c r="K216" s="12"/>
      <c r="L216" s="12"/>
      <c r="M216" s="12"/>
      <c r="N216" s="12">
        <f>P216</f>
        <v>0</v>
      </c>
      <c r="O216" s="12"/>
      <c r="P216" s="12"/>
      <c r="Q216" s="12"/>
      <c r="R216" s="12"/>
      <c r="S216" s="12"/>
      <c r="T216" s="12"/>
      <c r="U216" s="12">
        <f>T216</f>
        <v>0</v>
      </c>
    </row>
    <row r="217" spans="1:31" ht="28.15" customHeight="1" x14ac:dyDescent="0.25">
      <c r="A217" s="235"/>
      <c r="B217" s="10" t="s">
        <v>50</v>
      </c>
      <c r="C217" s="218"/>
      <c r="D217" s="218"/>
      <c r="E217" s="195">
        <f>E185+E197+E205</f>
        <v>722</v>
      </c>
      <c r="F217" s="195">
        <f>F185+F197+F205</f>
        <v>703</v>
      </c>
      <c r="G217" s="195">
        <f>G185+G197+G205</f>
        <v>763</v>
      </c>
      <c r="H217" s="195">
        <f>H185+H197+H205</f>
        <v>763</v>
      </c>
      <c r="I217" s="195">
        <f>I185+I197+I205</f>
        <v>763</v>
      </c>
      <c r="J217" s="156"/>
      <c r="K217" s="156"/>
      <c r="L217" s="156"/>
      <c r="M217" s="156"/>
      <c r="N217" s="156">
        <f>SUM(O217:S217)</f>
        <v>105623278.178</v>
      </c>
      <c r="O217" s="156">
        <f>O185+O197+O205+O209+O210+O211+O212+O216</f>
        <v>68560135.359999999</v>
      </c>
      <c r="P217" s="156">
        <f>P185+P197+P205+P209+P210+P211+P212+P213+P214+P216</f>
        <v>14788067.408</v>
      </c>
      <c r="Q217" s="156">
        <f>Q185+Q197+Q205+Q209+Q210+Q211+Q212</f>
        <v>0</v>
      </c>
      <c r="R217" s="156">
        <f>R185+R197+R205+R209+R210+R211+R212+R213</f>
        <v>22275075.41</v>
      </c>
      <c r="S217" s="156">
        <f>S185+S197+S205+S209+S210+S211+S212+S213</f>
        <v>0</v>
      </c>
      <c r="T217" s="156">
        <f>T185+T197+T205+T209+T210+T211+T212+T213+T215+T216</f>
        <v>98127961.25</v>
      </c>
      <c r="U217" s="156">
        <f>U185+U197+U205+U209+U210+U211+U212+U213+U215+U216</f>
        <v>98127961.25</v>
      </c>
      <c r="X217" s="8"/>
      <c r="AA217" s="8"/>
      <c r="AB217" s="302"/>
      <c r="AC217" s="8"/>
      <c r="AD217" s="8"/>
      <c r="AE217" s="8"/>
    </row>
    <row r="218" spans="1:31" ht="210" x14ac:dyDescent="0.25">
      <c r="A218" s="233" t="s">
        <v>68</v>
      </c>
      <c r="B218" s="290" t="s">
        <v>620</v>
      </c>
      <c r="C218" s="287" t="s">
        <v>69</v>
      </c>
      <c r="D218" s="37" t="s">
        <v>70</v>
      </c>
      <c r="E218" s="160" t="s">
        <v>442</v>
      </c>
      <c r="F218" s="160" t="s">
        <v>501</v>
      </c>
      <c r="G218" s="160" t="s">
        <v>501</v>
      </c>
      <c r="H218" s="160" t="s">
        <v>442</v>
      </c>
      <c r="I218" s="160" t="s">
        <v>442</v>
      </c>
      <c r="J218" s="6" t="s">
        <v>564</v>
      </c>
      <c r="K218" s="6" t="s">
        <v>631</v>
      </c>
      <c r="L218" s="6" t="s">
        <v>573</v>
      </c>
      <c r="M218" s="6" t="s">
        <v>632</v>
      </c>
      <c r="N218" s="6">
        <f>SUM(O218:R218)</f>
        <v>2514361.75</v>
      </c>
      <c r="O218" s="6">
        <f>((((1013620.33*1/12*8)+(1013620.33/12*4))+((2198.86*20)/12*8+(2198.86*20)/12*4)))</f>
        <v>1057597.5299999998</v>
      </c>
      <c r="P218" s="6">
        <f>((332314.42*1)/12*8)+((332314.42*1)/12*4)</f>
        <v>332314.42</v>
      </c>
      <c r="Q218" s="6"/>
      <c r="R218" s="61">
        <f>((56222.49*20)/12*8)+((56222.49*20)/12*4)</f>
        <v>1124449.8</v>
      </c>
      <c r="S218" s="61"/>
      <c r="T218" s="61">
        <f>W218</f>
        <v>2572783.0999999996</v>
      </c>
      <c r="U218" s="61">
        <f>AB218</f>
        <v>2572783.0999999996</v>
      </c>
      <c r="W218" s="161">
        <f>SUM(X218:Z218)</f>
        <v>2572783.0999999996</v>
      </c>
      <c r="X218" s="6">
        <f>((((1013620.33*1/12*8)+(1013620.33/12*4))+((2198.86*21)/12*8+(2198.86*21)/12*4)))</f>
        <v>1059796.3899999999</v>
      </c>
      <c r="Y218" s="6">
        <f>((332314.42*1)/12*8)+((332314.42*1)/12*4)</f>
        <v>332314.42</v>
      </c>
      <c r="Z218" s="62">
        <f>((56222.49*21)/12*8)+((56222.49*21)/12*4)</f>
        <v>1180672.29</v>
      </c>
      <c r="AB218" s="161">
        <f>SUM(AC218:AE218)</f>
        <v>2572783.0999999996</v>
      </c>
      <c r="AC218" s="6">
        <f>((((1013620.33*1/12*8)+(1013620.33/12*4))+((2198.86*21)/12*8+(2198.86*21)/12*4)))</f>
        <v>1059796.3899999999</v>
      </c>
      <c r="AD218" s="6">
        <f>((332314.42*1)/12*8)+((332314.42*1)/12*4)</f>
        <v>332314.42</v>
      </c>
      <c r="AE218" s="62">
        <f>((56222.49*21)/12*8)+((56222.49*21)/12*4)</f>
        <v>1180672.29</v>
      </c>
    </row>
    <row r="219" spans="1:31" ht="210" x14ac:dyDescent="0.25">
      <c r="A219" s="234"/>
      <c r="B219" s="291"/>
      <c r="C219" s="287" t="s">
        <v>71</v>
      </c>
      <c r="D219" s="37" t="s">
        <v>70</v>
      </c>
      <c r="E219" s="160" t="s">
        <v>455</v>
      </c>
      <c r="F219" s="160" t="s">
        <v>502</v>
      </c>
      <c r="G219" s="160" t="s">
        <v>580</v>
      </c>
      <c r="H219" s="160" t="s">
        <v>581</v>
      </c>
      <c r="I219" s="160" t="s">
        <v>582</v>
      </c>
      <c r="J219" s="6" t="s">
        <v>565</v>
      </c>
      <c r="K219" s="6" t="s">
        <v>566</v>
      </c>
      <c r="L219" s="6" t="s">
        <v>573</v>
      </c>
      <c r="M219" s="6" t="s">
        <v>633</v>
      </c>
      <c r="N219" s="6">
        <f>SUM(O219:R219)</f>
        <v>8598641.7699999996</v>
      </c>
      <c r="O219" s="6">
        <f>((((955631.11*4)/12*8+(955631.11*4)/12*4)+((2198.86*59)/12*8+(2198.86*59)/12*4)))</f>
        <v>3952257.1799999997</v>
      </c>
      <c r="P219" s="6">
        <f>((332314.42*4)/12*8)+((332314.42*4)/12*4)</f>
        <v>1329257.68</v>
      </c>
      <c r="Q219" s="6"/>
      <c r="R219" s="61">
        <f>((56222.49*59)/12*8)+((56222.49*59)/12*4)</f>
        <v>3317126.91</v>
      </c>
      <c r="S219" s="61"/>
      <c r="T219" s="61">
        <f>W219</f>
        <v>7780742.8699999992</v>
      </c>
      <c r="U219" s="61">
        <f>AB219</f>
        <v>7313372.0699999994</v>
      </c>
      <c r="W219" s="161">
        <f>SUM(X219:Z219)</f>
        <v>7780742.8699999992</v>
      </c>
      <c r="X219" s="6">
        <f>((((955631.11*4/12*8)+(955631.11*4/12*4))+((2198.86*45)/12*8+(2198.86*45)/12*4)))</f>
        <v>3921473.1399999997</v>
      </c>
      <c r="Y219" s="6">
        <f>((332314.42*4)/12*8)+((332314.42*4)/12*4)</f>
        <v>1329257.68</v>
      </c>
      <c r="Z219" s="62">
        <f>((56222.49*45)/12*8)+((56222.49*45)/12*4)</f>
        <v>2530012.0499999998</v>
      </c>
      <c r="AB219" s="161">
        <f>SUM(AC219:AE219)</f>
        <v>7313372.0699999994</v>
      </c>
      <c r="AC219" s="6">
        <f>((((955631.11*4/12*8)+(955631.11*4/12*4))+((2198.86*37)/12*8+(2198.86*37)/12*4)))</f>
        <v>3903882.2599999993</v>
      </c>
      <c r="AD219" s="6">
        <f>((332314.42*4)/12*8)+((332314.42*4)/12*4)</f>
        <v>1329257.68</v>
      </c>
      <c r="AE219" s="62">
        <f>((56222.49*37)/12*8)+((56222.49*37)/12*4)</f>
        <v>2080232.13</v>
      </c>
    </row>
    <row r="220" spans="1:31" ht="90" x14ac:dyDescent="0.25">
      <c r="A220" s="234"/>
      <c r="B220" s="291"/>
      <c r="C220" s="287" t="s">
        <v>39</v>
      </c>
      <c r="D220" s="37" t="s">
        <v>24</v>
      </c>
      <c r="E220" s="193"/>
      <c r="F220" s="193"/>
      <c r="G220" s="193"/>
      <c r="H220" s="193"/>
      <c r="I220" s="193"/>
      <c r="J220" s="91" t="s">
        <v>72</v>
      </c>
      <c r="K220" s="91" t="s">
        <v>72</v>
      </c>
      <c r="L220" s="91" t="s">
        <v>72</v>
      </c>
      <c r="M220" s="91" t="s">
        <v>72</v>
      </c>
      <c r="N220" s="6">
        <f t="shared" ref="N220:N228" si="71">SUM(O220:R220)</f>
        <v>0</v>
      </c>
      <c r="O220" s="91" t="s">
        <v>72</v>
      </c>
      <c r="P220" s="91" t="s">
        <v>72</v>
      </c>
      <c r="Q220" s="91"/>
      <c r="R220" s="91" t="s">
        <v>72</v>
      </c>
      <c r="S220" s="91"/>
      <c r="T220" s="61">
        <f t="shared" ref="T220" si="72">N220</f>
        <v>0</v>
      </c>
      <c r="U220" s="61">
        <f t="shared" ref="U220" si="73">T220</f>
        <v>0</v>
      </c>
    </row>
    <row r="221" spans="1:31" x14ac:dyDescent="0.25">
      <c r="A221" s="234"/>
      <c r="B221" s="291"/>
      <c r="C221" s="189" t="s">
        <v>57</v>
      </c>
      <c r="D221" s="37" t="s">
        <v>24</v>
      </c>
      <c r="E221" s="193">
        <v>1</v>
      </c>
      <c r="F221" s="160">
        <f>1-1</f>
        <v>0</v>
      </c>
      <c r="G221" s="160">
        <f>1-1</f>
        <v>0</v>
      </c>
      <c r="H221" s="193">
        <f>1-1</f>
        <v>0</v>
      </c>
      <c r="I221" s="193">
        <f>1-1</f>
        <v>0</v>
      </c>
      <c r="J221" s="61">
        <f t="shared" ref="J221:J228" si="74">K221</f>
        <v>183920.14</v>
      </c>
      <c r="K221" s="61">
        <v>183920.14</v>
      </c>
      <c r="L221" s="91"/>
      <c r="M221" s="91"/>
      <c r="N221" s="6">
        <f t="shared" si="71"/>
        <v>0</v>
      </c>
      <c r="O221" s="6">
        <f>G221*K221</f>
        <v>0</v>
      </c>
      <c r="P221" s="91"/>
      <c r="Q221" s="91"/>
      <c r="R221" s="91"/>
      <c r="S221" s="91"/>
      <c r="T221" s="61">
        <f>H221*K221</f>
        <v>0</v>
      </c>
      <c r="U221" s="61">
        <f>I221*K221</f>
        <v>0</v>
      </c>
    </row>
    <row r="222" spans="1:31" x14ac:dyDescent="0.25">
      <c r="A222" s="234"/>
      <c r="B222" s="291"/>
      <c r="C222" s="189" t="s">
        <v>28</v>
      </c>
      <c r="D222" s="37" t="s">
        <v>24</v>
      </c>
      <c r="E222" s="160">
        <v>3</v>
      </c>
      <c r="F222" s="160">
        <f>3-1</f>
        <v>2</v>
      </c>
      <c r="G222" s="160">
        <f>3</f>
        <v>3</v>
      </c>
      <c r="H222" s="160">
        <f>4-1</f>
        <v>3</v>
      </c>
      <c r="I222" s="160">
        <f>2</f>
        <v>2</v>
      </c>
      <c r="J222" s="61">
        <f t="shared" si="74"/>
        <v>183920.14</v>
      </c>
      <c r="K222" s="61">
        <v>183920.14</v>
      </c>
      <c r="L222" s="91"/>
      <c r="M222" s="91"/>
      <c r="N222" s="6">
        <f t="shared" si="71"/>
        <v>551760.42000000004</v>
      </c>
      <c r="O222" s="6">
        <f>G222*K222</f>
        <v>551760.42000000004</v>
      </c>
      <c r="P222" s="91"/>
      <c r="Q222" s="91"/>
      <c r="R222" s="91"/>
      <c r="S222" s="91"/>
      <c r="T222" s="61">
        <f>H222*K222</f>
        <v>551760.42000000004</v>
      </c>
      <c r="U222" s="61">
        <f>I222*K222</f>
        <v>367840.28</v>
      </c>
      <c r="W222" s="1" t="s">
        <v>337</v>
      </c>
    </row>
    <row r="223" spans="1:31" x14ac:dyDescent="0.25">
      <c r="A223" s="234"/>
      <c r="B223" s="291"/>
      <c r="C223" s="189" t="s">
        <v>30</v>
      </c>
      <c r="D223" s="37" t="s">
        <v>24</v>
      </c>
      <c r="E223" s="160">
        <v>6</v>
      </c>
      <c r="F223" s="160">
        <f>6+3</f>
        <v>9</v>
      </c>
      <c r="G223" s="160">
        <f>5+4</f>
        <v>9</v>
      </c>
      <c r="H223" s="160">
        <f>7-1</f>
        <v>6</v>
      </c>
      <c r="I223" s="160">
        <f>7-2</f>
        <v>5</v>
      </c>
      <c r="J223" s="61">
        <f t="shared" si="74"/>
        <v>181881.77</v>
      </c>
      <c r="K223" s="61">
        <v>181881.77</v>
      </c>
      <c r="L223" s="61"/>
      <c r="M223" s="61"/>
      <c r="N223" s="6">
        <f t="shared" si="71"/>
        <v>1636935.93</v>
      </c>
      <c r="O223" s="6">
        <f t="shared" ref="O223:O225" si="75">G223*K223</f>
        <v>1636935.93</v>
      </c>
      <c r="P223" s="6"/>
      <c r="Q223" s="6"/>
      <c r="R223" s="161"/>
      <c r="S223" s="161"/>
      <c r="T223" s="61">
        <f t="shared" ref="T223:T225" si="76">H223*K223</f>
        <v>1091290.6199999999</v>
      </c>
      <c r="U223" s="61">
        <f t="shared" ref="U223:U225" si="77">I223*K223</f>
        <v>909408.85</v>
      </c>
    </row>
    <row r="224" spans="1:31" x14ac:dyDescent="0.25">
      <c r="A224" s="234"/>
      <c r="B224" s="291"/>
      <c r="C224" s="189" t="s">
        <v>32</v>
      </c>
      <c r="D224" s="37" t="s">
        <v>24</v>
      </c>
      <c r="E224" s="160">
        <v>0</v>
      </c>
      <c r="F224" s="160">
        <v>0</v>
      </c>
      <c r="G224" s="160">
        <f>2-2</f>
        <v>0</v>
      </c>
      <c r="H224" s="160">
        <f>2-2</f>
        <v>0</v>
      </c>
      <c r="I224" s="160">
        <f>2-2</f>
        <v>0</v>
      </c>
      <c r="J224" s="61">
        <f t="shared" si="74"/>
        <v>228591.46</v>
      </c>
      <c r="K224" s="61">
        <v>228591.46</v>
      </c>
      <c r="L224" s="61"/>
      <c r="M224" s="61"/>
      <c r="N224" s="6">
        <f t="shared" si="71"/>
        <v>0</v>
      </c>
      <c r="O224" s="6">
        <f t="shared" si="75"/>
        <v>0</v>
      </c>
      <c r="P224" s="6"/>
      <c r="Q224" s="6"/>
      <c r="R224" s="161"/>
      <c r="S224" s="161"/>
      <c r="T224" s="61">
        <f t="shared" si="76"/>
        <v>0</v>
      </c>
      <c r="U224" s="61">
        <f t="shared" si="77"/>
        <v>0</v>
      </c>
    </row>
    <row r="225" spans="1:31" x14ac:dyDescent="0.25">
      <c r="A225" s="234"/>
      <c r="B225" s="291"/>
      <c r="C225" s="189" t="s">
        <v>52</v>
      </c>
      <c r="D225" s="37" t="s">
        <v>24</v>
      </c>
      <c r="E225" s="160">
        <v>1</v>
      </c>
      <c r="F225" s="160">
        <f>1-1</f>
        <v>0</v>
      </c>
      <c r="G225" s="160">
        <f>1-1</f>
        <v>0</v>
      </c>
      <c r="H225" s="160">
        <f>1-1</f>
        <v>0</v>
      </c>
      <c r="I225" s="160">
        <f>1-1</f>
        <v>0</v>
      </c>
      <c r="J225" s="61">
        <f t="shared" si="74"/>
        <v>384047.72</v>
      </c>
      <c r="K225" s="61">
        <v>384047.72</v>
      </c>
      <c r="L225" s="61"/>
      <c r="M225" s="61"/>
      <c r="N225" s="6">
        <f t="shared" si="71"/>
        <v>0</v>
      </c>
      <c r="O225" s="6">
        <f t="shared" si="75"/>
        <v>0</v>
      </c>
      <c r="P225" s="6"/>
      <c r="Q225" s="6"/>
      <c r="R225" s="161"/>
      <c r="S225" s="161"/>
      <c r="T225" s="61">
        <f t="shared" si="76"/>
        <v>0</v>
      </c>
      <c r="U225" s="61">
        <f t="shared" si="77"/>
        <v>0</v>
      </c>
    </row>
    <row r="226" spans="1:31" ht="82.9" customHeight="1" x14ac:dyDescent="0.25">
      <c r="A226" s="234"/>
      <c r="B226" s="291"/>
      <c r="C226" s="287" t="s">
        <v>73</v>
      </c>
      <c r="D226" s="37" t="s">
        <v>24</v>
      </c>
      <c r="E226" s="160">
        <v>1</v>
      </c>
      <c r="F226" s="160">
        <f>1-1</f>
        <v>0</v>
      </c>
      <c r="G226" s="160">
        <v>0</v>
      </c>
      <c r="H226" s="160">
        <v>0</v>
      </c>
      <c r="I226" s="193">
        <v>0</v>
      </c>
      <c r="J226" s="61">
        <f t="shared" si="74"/>
        <v>500500.38</v>
      </c>
      <c r="K226" s="61">
        <f>498301.52+2198.86</f>
        <v>500500.38</v>
      </c>
      <c r="L226" s="6">
        <v>0</v>
      </c>
      <c r="M226" s="6" t="s">
        <v>633</v>
      </c>
      <c r="N226" s="6">
        <f t="shared" si="71"/>
        <v>0</v>
      </c>
      <c r="O226" s="6">
        <f>G226*K226</f>
        <v>0</v>
      </c>
      <c r="P226" s="6">
        <v>0</v>
      </c>
      <c r="Q226" s="6"/>
      <c r="R226" s="6">
        <f>G226*56222.49</f>
        <v>0</v>
      </c>
      <c r="S226" s="161"/>
      <c r="T226" s="61">
        <f>H226*K226</f>
        <v>0</v>
      </c>
      <c r="U226" s="61">
        <f>I226*K226</f>
        <v>0</v>
      </c>
    </row>
    <row r="227" spans="1:31" ht="82.9" customHeight="1" x14ac:dyDescent="0.25">
      <c r="A227" s="234"/>
      <c r="B227" s="291"/>
      <c r="C227" s="287" t="s">
        <v>74</v>
      </c>
      <c r="D227" s="37" t="s">
        <v>24</v>
      </c>
      <c r="E227" s="160"/>
      <c r="F227" s="160"/>
      <c r="G227" s="160">
        <v>0</v>
      </c>
      <c r="H227" s="160">
        <v>0</v>
      </c>
      <c r="I227" s="160">
        <v>0</v>
      </c>
      <c r="J227" s="61">
        <f t="shared" si="74"/>
        <v>43951.44</v>
      </c>
      <c r="K227" s="61">
        <v>43951.44</v>
      </c>
      <c r="L227" s="6" t="s">
        <v>26</v>
      </c>
      <c r="M227" s="6" t="s">
        <v>26</v>
      </c>
      <c r="N227" s="6">
        <f t="shared" si="71"/>
        <v>0</v>
      </c>
      <c r="O227" s="6">
        <f>G227*K227</f>
        <v>0</v>
      </c>
      <c r="P227" s="6" t="s">
        <v>26</v>
      </c>
      <c r="Q227" s="6"/>
      <c r="R227" s="161" t="s">
        <v>26</v>
      </c>
      <c r="S227" s="161"/>
      <c r="T227" s="61">
        <f>H227*K227</f>
        <v>0</v>
      </c>
      <c r="U227" s="61">
        <f>I227*K227</f>
        <v>0</v>
      </c>
    </row>
    <row r="228" spans="1:31" ht="13.9" customHeight="1" x14ac:dyDescent="0.25">
      <c r="A228" s="234"/>
      <c r="B228" s="291"/>
      <c r="C228" s="159" t="s">
        <v>58</v>
      </c>
      <c r="D228" s="37" t="s">
        <v>59</v>
      </c>
      <c r="E228" s="160">
        <v>5</v>
      </c>
      <c r="F228" s="160">
        <v>5</v>
      </c>
      <c r="G228" s="160">
        <v>5</v>
      </c>
      <c r="H228" s="160">
        <v>5</v>
      </c>
      <c r="I228" s="160">
        <v>5</v>
      </c>
      <c r="J228" s="61">
        <f t="shared" si="74"/>
        <v>234360</v>
      </c>
      <c r="K228" s="61">
        <f>10000*1.5*1.302*12</f>
        <v>234360</v>
      </c>
      <c r="L228" s="6"/>
      <c r="M228" s="6"/>
      <c r="N228" s="6">
        <f t="shared" si="71"/>
        <v>1171800</v>
      </c>
      <c r="O228" s="6">
        <f>G228*K228</f>
        <v>1171800</v>
      </c>
      <c r="P228" s="6"/>
      <c r="Q228" s="6"/>
      <c r="R228" s="161"/>
      <c r="S228" s="161"/>
      <c r="T228" s="61">
        <f>H228*K228-1171800</f>
        <v>0</v>
      </c>
      <c r="U228" s="61">
        <f>I228*K228-1171800</f>
        <v>0</v>
      </c>
    </row>
    <row r="229" spans="1:31" ht="25.15" customHeight="1" x14ac:dyDescent="0.25">
      <c r="A229" s="234"/>
      <c r="B229" s="292"/>
      <c r="C229" s="159" t="s">
        <v>38</v>
      </c>
      <c r="D229" s="37"/>
      <c r="E229" s="160" t="s">
        <v>443</v>
      </c>
      <c r="F229" s="160" t="s">
        <v>500</v>
      </c>
      <c r="G229" s="193" t="s">
        <v>583</v>
      </c>
      <c r="H229" s="193" t="s">
        <v>584</v>
      </c>
      <c r="I229" s="193" t="s">
        <v>585</v>
      </c>
      <c r="J229" s="6" t="s">
        <v>26</v>
      </c>
      <c r="K229" s="6" t="s">
        <v>26</v>
      </c>
      <c r="L229" s="6" t="s">
        <v>26</v>
      </c>
      <c r="M229" s="6" t="s">
        <v>26</v>
      </c>
      <c r="N229" s="161">
        <f>SUM(O229:R229)</f>
        <v>14473499.869999997</v>
      </c>
      <c r="O229" s="6">
        <f>SUM(O218:O228)</f>
        <v>8370351.0599999987</v>
      </c>
      <c r="P229" s="6">
        <f>SUM(P218:P227)</f>
        <v>1661572.0999999999</v>
      </c>
      <c r="Q229" s="6"/>
      <c r="R229" s="161">
        <f>SUM(R218:R227)</f>
        <v>4441576.71</v>
      </c>
      <c r="S229" s="6"/>
      <c r="T229" s="6">
        <f>SUM(T218:T228)</f>
        <v>11996577.009999998</v>
      </c>
      <c r="U229" s="6">
        <f>SUM(U218:U228)</f>
        <v>11163404.299999997</v>
      </c>
    </row>
    <row r="230" spans="1:31" ht="210" x14ac:dyDescent="0.25">
      <c r="A230" s="234"/>
      <c r="B230" s="290" t="s">
        <v>626</v>
      </c>
      <c r="C230" s="287" t="s">
        <v>69</v>
      </c>
      <c r="D230" s="37" t="s">
        <v>70</v>
      </c>
      <c r="E230" s="160" t="s">
        <v>444</v>
      </c>
      <c r="F230" s="160" t="s">
        <v>503</v>
      </c>
      <c r="G230" s="160" t="s">
        <v>589</v>
      </c>
      <c r="H230" s="160" t="s">
        <v>590</v>
      </c>
      <c r="I230" s="160" t="s">
        <v>591</v>
      </c>
      <c r="J230" s="6" t="s">
        <v>567</v>
      </c>
      <c r="K230" s="6" t="s">
        <v>568</v>
      </c>
      <c r="L230" s="6" t="s">
        <v>573</v>
      </c>
      <c r="M230" s="6" t="s">
        <v>633</v>
      </c>
      <c r="N230" s="6">
        <f>SUM(O230:R230)</f>
        <v>6509582.3399999999</v>
      </c>
      <c r="O230" s="6">
        <f>((((1507123.31*2)/12*8+(1507123.31*2)/12*4)+((2750.57*48)/12*8+(2750.57*48)/12*4)))</f>
        <v>3146273.98</v>
      </c>
      <c r="P230" s="6">
        <f>((332314.42*2)/12*8)+((332314.42*2)/12*4)</f>
        <v>664628.84</v>
      </c>
      <c r="Q230" s="6"/>
      <c r="R230" s="6">
        <f>((56222.49*48)/12*8)+((56222.49*48)/12*4)</f>
        <v>2698679.52</v>
      </c>
      <c r="S230" s="6"/>
      <c r="T230" s="61">
        <f>W230</f>
        <v>6922393.7599999998</v>
      </c>
      <c r="U230" s="61">
        <f>AB230</f>
        <v>6568555.4000000004</v>
      </c>
      <c r="V230" s="13"/>
      <c r="W230" s="161">
        <f>SUM(X230:Z230)</f>
        <v>6922393.7599999998</v>
      </c>
      <c r="X230" s="6">
        <f>((((1507123.31*2)/12*8+(1507123.31*2)/12*4)+((2750.57*55)/12*8+(2750.57*55)/12*4)))</f>
        <v>3165527.97</v>
      </c>
      <c r="Y230" s="6">
        <f>((332314.42*2)/12*8)+((332314.42*2)/12*4)</f>
        <v>664628.84</v>
      </c>
      <c r="Z230" s="161">
        <f>((56222.49*55)/12*8)+((56222.49*55)/12*4)</f>
        <v>3092236.9499999997</v>
      </c>
      <c r="AB230" s="161">
        <f>SUM(AC230:AE230)</f>
        <v>6568555.4000000004</v>
      </c>
      <c r="AC230" s="6">
        <f>((((1507123.31*2)/12*8+(1507123.31*2)/12*4)+((2750.57*49)/12*8+(2750.57*49)/12*4)))</f>
        <v>3149024.5500000003</v>
      </c>
      <c r="AD230" s="6">
        <f>((332314.42*2)/12*8)+((332314.42*2)/12*4)</f>
        <v>664628.84</v>
      </c>
      <c r="AE230" s="161">
        <f>((56222.49*49)/12*8)+((56222.49*49)/12*4)</f>
        <v>2754902.01</v>
      </c>
    </row>
    <row r="231" spans="1:31" ht="210" x14ac:dyDescent="0.25">
      <c r="A231" s="234"/>
      <c r="B231" s="291"/>
      <c r="C231" s="287" t="s">
        <v>71</v>
      </c>
      <c r="D231" s="37" t="s">
        <v>70</v>
      </c>
      <c r="E231" s="165" t="s">
        <v>456</v>
      </c>
      <c r="F231" s="165" t="s">
        <v>504</v>
      </c>
      <c r="G231" s="165" t="s">
        <v>504</v>
      </c>
      <c r="H231" s="165" t="s">
        <v>504</v>
      </c>
      <c r="I231" s="165" t="s">
        <v>504</v>
      </c>
      <c r="J231" s="6" t="s">
        <v>569</v>
      </c>
      <c r="K231" s="6" t="s">
        <v>570</v>
      </c>
      <c r="L231" s="6" t="s">
        <v>573</v>
      </c>
      <c r="M231" s="6" t="s">
        <v>633</v>
      </c>
      <c r="N231" s="6">
        <f>SUM(O231:R231)</f>
        <v>9371499.5999999996</v>
      </c>
      <c r="O231" s="6">
        <f>((((1273397.23*4)/12*8+(1273397.23*4)/12*4)+((2750.57*50)/12*8+(2750.57*50)/12*4)))</f>
        <v>5231117.42</v>
      </c>
      <c r="P231" s="6">
        <f>((332314.42*4)/12*8)+((332314.42*4)/12*4)</f>
        <v>1329257.68</v>
      </c>
      <c r="Q231" s="6"/>
      <c r="R231" s="6">
        <f>((56222.49*50)/12*8)+((56222.49*50)/12*4)</f>
        <v>2811124.5</v>
      </c>
      <c r="S231" s="6"/>
      <c r="T231" s="61">
        <f>W231</f>
        <v>9371499.5999999996</v>
      </c>
      <c r="U231" s="61">
        <f>AB231</f>
        <v>9371499.5999999996</v>
      </c>
      <c r="W231" s="161">
        <f>SUM(X231:Z231)</f>
        <v>9371499.5999999996</v>
      </c>
      <c r="X231" s="6">
        <f>((((1273397.23*4)/12*8+(1273397.23*4)/12*4)+((2750.57*50)/12*8+(2750.57*50)/12*4)))</f>
        <v>5231117.42</v>
      </c>
      <c r="Y231" s="6">
        <f>((332314.42*4)/12*8)+((332314.42*4)/12*4)</f>
        <v>1329257.68</v>
      </c>
      <c r="Z231" s="161">
        <f>((56222.49*50)/12*8)+((56222.49*50)/12*4)</f>
        <v>2811124.5</v>
      </c>
      <c r="AB231" s="161">
        <f>SUM(AC231:AE231)</f>
        <v>9371499.5999999996</v>
      </c>
      <c r="AC231" s="6">
        <f>((((1273397.23*4)/12*8+(1273397.23*4)/12*4)+((2750.57*50)/12*8+(2750.57*50)/12*4)))</f>
        <v>5231117.42</v>
      </c>
      <c r="AD231" s="6">
        <f>((332314.42*4)/12*8)+((332314.42*4)/12*4)</f>
        <v>1329257.68</v>
      </c>
      <c r="AE231" s="161">
        <f>((56222.49*50)/12*8)+((56222.49*50)/12*4)</f>
        <v>2811124.5</v>
      </c>
    </row>
    <row r="232" spans="1:31" ht="90" x14ac:dyDescent="0.25">
      <c r="A232" s="234"/>
      <c r="B232" s="292"/>
      <c r="C232" s="287" t="s">
        <v>25</v>
      </c>
      <c r="D232" s="37" t="s">
        <v>24</v>
      </c>
      <c r="E232" s="160" t="s">
        <v>26</v>
      </c>
      <c r="F232" s="160" t="s">
        <v>26</v>
      </c>
      <c r="G232" s="160" t="s">
        <v>26</v>
      </c>
      <c r="H232" s="160" t="s">
        <v>26</v>
      </c>
      <c r="I232" s="160" t="s">
        <v>26</v>
      </c>
      <c r="J232" s="160" t="s">
        <v>26</v>
      </c>
      <c r="K232" s="160" t="s">
        <v>26</v>
      </c>
      <c r="L232" s="160" t="s">
        <v>26</v>
      </c>
      <c r="M232" s="160" t="s">
        <v>26</v>
      </c>
      <c r="N232" s="6"/>
      <c r="O232" s="6"/>
      <c r="P232" s="160" t="s">
        <v>26</v>
      </c>
      <c r="Q232" s="160"/>
      <c r="R232" s="160" t="s">
        <v>26</v>
      </c>
      <c r="S232" s="160"/>
      <c r="T232" s="61"/>
      <c r="U232" s="61"/>
    </row>
    <row r="233" spans="1:31" x14ac:dyDescent="0.25">
      <c r="A233" s="234"/>
      <c r="B233" s="293"/>
      <c r="C233" s="189" t="s">
        <v>57</v>
      </c>
      <c r="D233" s="37" t="s">
        <v>24</v>
      </c>
      <c r="E233" s="165">
        <v>0</v>
      </c>
      <c r="F233" s="165">
        <v>2</v>
      </c>
      <c r="G233" s="160">
        <v>1</v>
      </c>
      <c r="H233" s="165">
        <f>4-1</f>
        <v>3</v>
      </c>
      <c r="I233" s="165">
        <f>6-3</f>
        <v>3</v>
      </c>
      <c r="J233" s="61">
        <f>K233</f>
        <v>98117.04</v>
      </c>
      <c r="K233" s="61">
        <v>98117.04</v>
      </c>
      <c r="L233" s="160" t="s">
        <v>26</v>
      </c>
      <c r="M233" s="160" t="s">
        <v>26</v>
      </c>
      <c r="N233" s="6">
        <f>O233</f>
        <v>98117.04</v>
      </c>
      <c r="O233" s="61">
        <f>G233*K233</f>
        <v>98117.04</v>
      </c>
      <c r="P233" s="160" t="s">
        <v>26</v>
      </c>
      <c r="Q233" s="160"/>
      <c r="R233" s="160" t="s">
        <v>26</v>
      </c>
      <c r="S233" s="160"/>
      <c r="T233" s="61">
        <f>H233*K233</f>
        <v>294351.12</v>
      </c>
      <c r="U233" s="61">
        <f>I233*K233</f>
        <v>294351.12</v>
      </c>
    </row>
    <row r="234" spans="1:31" x14ac:dyDescent="0.25">
      <c r="A234" s="234"/>
      <c r="B234" s="293"/>
      <c r="C234" s="189" t="s">
        <v>31</v>
      </c>
      <c r="D234" s="37" t="s">
        <v>24</v>
      </c>
      <c r="E234" s="165">
        <f>2-2</f>
        <v>0</v>
      </c>
      <c r="F234" s="165">
        <f>2-2</f>
        <v>0</v>
      </c>
      <c r="G234" s="160">
        <v>0</v>
      </c>
      <c r="H234" s="165">
        <f>2-2</f>
        <v>0</v>
      </c>
      <c r="I234" s="165">
        <f>2-2</f>
        <v>0</v>
      </c>
      <c r="J234" s="61">
        <f t="shared" ref="J234:J235" si="78">K234</f>
        <v>347664.17</v>
      </c>
      <c r="K234" s="61">
        <v>347664.17</v>
      </c>
      <c r="L234" s="160" t="s">
        <v>26</v>
      </c>
      <c r="M234" s="160" t="s">
        <v>26</v>
      </c>
      <c r="N234" s="6">
        <f t="shared" ref="N234:N235" si="79">O234</f>
        <v>0</v>
      </c>
      <c r="O234" s="61">
        <f t="shared" ref="O234:O235" si="80">G234*K234</f>
        <v>0</v>
      </c>
      <c r="P234" s="160" t="s">
        <v>26</v>
      </c>
      <c r="Q234" s="160"/>
      <c r="R234" s="160" t="s">
        <v>26</v>
      </c>
      <c r="S234" s="160"/>
      <c r="T234" s="61">
        <f t="shared" ref="T234:T235" si="81">H234*K234</f>
        <v>0</v>
      </c>
      <c r="U234" s="61">
        <f t="shared" ref="U234:U235" si="82">I234*K234</f>
        <v>0</v>
      </c>
    </row>
    <row r="235" spans="1:31" x14ac:dyDescent="0.25">
      <c r="A235" s="234"/>
      <c r="B235" s="293"/>
      <c r="C235" s="189" t="s">
        <v>52</v>
      </c>
      <c r="D235" s="37" t="s">
        <v>24</v>
      </c>
      <c r="E235" s="165">
        <v>0</v>
      </c>
      <c r="F235" s="165">
        <v>1</v>
      </c>
      <c r="G235" s="160">
        <v>0</v>
      </c>
      <c r="H235" s="165">
        <f>5-5</f>
        <v>0</v>
      </c>
      <c r="I235" s="165">
        <f>5-5</f>
        <v>0</v>
      </c>
      <c r="J235" s="61">
        <f t="shared" si="78"/>
        <v>476428.95</v>
      </c>
      <c r="K235" s="61">
        <v>476428.95</v>
      </c>
      <c r="L235" s="160" t="s">
        <v>26</v>
      </c>
      <c r="M235" s="160" t="s">
        <v>26</v>
      </c>
      <c r="N235" s="6">
        <f t="shared" si="79"/>
        <v>0</v>
      </c>
      <c r="O235" s="61">
        <f t="shared" si="80"/>
        <v>0</v>
      </c>
      <c r="P235" s="160" t="s">
        <v>26</v>
      </c>
      <c r="Q235" s="160"/>
      <c r="R235" s="160" t="s">
        <v>26</v>
      </c>
      <c r="S235" s="160"/>
      <c r="T235" s="61">
        <f t="shared" si="81"/>
        <v>0</v>
      </c>
      <c r="U235" s="61">
        <f t="shared" si="82"/>
        <v>0</v>
      </c>
    </row>
    <row r="236" spans="1:31" x14ac:dyDescent="0.25">
      <c r="A236" s="234"/>
      <c r="B236" s="293"/>
      <c r="C236" s="189" t="s">
        <v>34</v>
      </c>
      <c r="D236" s="37" t="s">
        <v>24</v>
      </c>
      <c r="E236" s="165">
        <v>1</v>
      </c>
      <c r="F236" s="165">
        <f>1-1</f>
        <v>0</v>
      </c>
      <c r="G236" s="160">
        <v>0</v>
      </c>
      <c r="H236" s="165">
        <v>1</v>
      </c>
      <c r="I236" s="165">
        <v>3</v>
      </c>
      <c r="J236" s="61">
        <f>K236</f>
        <v>20612.03</v>
      </c>
      <c r="K236" s="61">
        <v>20612.03</v>
      </c>
      <c r="L236" s="160" t="s">
        <v>26</v>
      </c>
      <c r="M236" s="160" t="s">
        <v>26</v>
      </c>
      <c r="N236" s="6">
        <f>O236</f>
        <v>0</v>
      </c>
      <c r="O236" s="61">
        <f>G236*K236</f>
        <v>0</v>
      </c>
      <c r="P236" s="160" t="s">
        <v>26</v>
      </c>
      <c r="Q236" s="160"/>
      <c r="R236" s="160" t="s">
        <v>26</v>
      </c>
      <c r="S236" s="160"/>
      <c r="T236" s="61">
        <f>H236*K236</f>
        <v>20612.03</v>
      </c>
      <c r="U236" s="61">
        <f>I236*K236</f>
        <v>61836.09</v>
      </c>
    </row>
    <row r="237" spans="1:31" ht="82.9" customHeight="1" x14ac:dyDescent="0.25">
      <c r="A237" s="234"/>
      <c r="B237" s="293"/>
      <c r="C237" s="287" t="s">
        <v>73</v>
      </c>
      <c r="D237" s="37" t="s">
        <v>24</v>
      </c>
      <c r="E237" s="165">
        <v>0</v>
      </c>
      <c r="F237" s="165">
        <v>1</v>
      </c>
      <c r="G237" s="193">
        <f>1</f>
        <v>1</v>
      </c>
      <c r="H237" s="165">
        <v>1</v>
      </c>
      <c r="I237" s="165">
        <v>1</v>
      </c>
      <c r="J237" s="61">
        <f>SUM(K237:M237)</f>
        <v>564313.44999999995</v>
      </c>
      <c r="K237" s="61">
        <f>561562.88+2750.57</f>
        <v>564313.44999999995</v>
      </c>
      <c r="L237" s="6"/>
      <c r="M237" s="6" t="s">
        <v>634</v>
      </c>
      <c r="N237" s="61">
        <f>SUM(O237:R237)</f>
        <v>624537.92999999993</v>
      </c>
      <c r="O237" s="61">
        <f>G237*K237</f>
        <v>564313.44999999995</v>
      </c>
      <c r="P237" s="61">
        <f>G237*4001.99</f>
        <v>4001.99</v>
      </c>
      <c r="Q237" s="61"/>
      <c r="R237" s="6">
        <f>((56222.49*1)/12*8)+((56222.49*1)/12*4)</f>
        <v>56222.489999999991</v>
      </c>
      <c r="S237" s="61"/>
      <c r="T237" s="61">
        <f>W237</f>
        <v>532524.05999999994</v>
      </c>
      <c r="U237" s="61">
        <f>AB237</f>
        <v>532524.05999999994</v>
      </c>
      <c r="W237" s="62">
        <f>SUM(X237:Z237)</f>
        <v>532524.05999999994</v>
      </c>
      <c r="X237" s="6">
        <f>((472299.58*1)/12*8)+(472299.58*1)/12*4</f>
        <v>472299.57999999996</v>
      </c>
      <c r="Y237" s="61">
        <f>4001.99*1</f>
        <v>4001.99</v>
      </c>
      <c r="Z237" s="61">
        <f>56222.49*1</f>
        <v>56222.49</v>
      </c>
      <c r="AB237" s="62">
        <f>SUM(AC237:AE237)</f>
        <v>532524.05999999994</v>
      </c>
      <c r="AC237" s="6">
        <f>((472299.58*1)/12*8)+(472299.58*1)/12*4</f>
        <v>472299.57999999996</v>
      </c>
      <c r="AD237" s="61">
        <f>4001.99*1</f>
        <v>4001.99</v>
      </c>
      <c r="AE237" s="61">
        <f>56222.49*1</f>
        <v>56222.49</v>
      </c>
    </row>
    <row r="238" spans="1:31" ht="82.9" customHeight="1" x14ac:dyDescent="0.25">
      <c r="A238" s="234"/>
      <c r="B238" s="293"/>
      <c r="C238" s="287" t="s">
        <v>74</v>
      </c>
      <c r="D238" s="37" t="s">
        <v>24</v>
      </c>
      <c r="E238" s="165">
        <v>2</v>
      </c>
      <c r="F238" s="165">
        <f>2+1</f>
        <v>3</v>
      </c>
      <c r="G238" s="160">
        <f>2-2</f>
        <v>0</v>
      </c>
      <c r="H238" s="165">
        <f>3-3</f>
        <v>0</v>
      </c>
      <c r="I238" s="165">
        <f>3-3</f>
        <v>0</v>
      </c>
      <c r="J238" s="61">
        <f>K238</f>
        <v>64799.67</v>
      </c>
      <c r="K238" s="61">
        <f>62049.1+2750.57</f>
        <v>64799.67</v>
      </c>
      <c r="L238" s="61"/>
      <c r="M238" s="61"/>
      <c r="N238" s="61">
        <f>O238</f>
        <v>0</v>
      </c>
      <c r="O238" s="61">
        <f>G238*K238</f>
        <v>0</v>
      </c>
      <c r="P238" s="61"/>
      <c r="Q238" s="61"/>
      <c r="R238" s="61"/>
      <c r="S238" s="61"/>
      <c r="T238" s="61">
        <f>H238*K238</f>
        <v>0</v>
      </c>
      <c r="U238" s="61">
        <f>I238*K238</f>
        <v>0</v>
      </c>
      <c r="W238" s="303" t="s">
        <v>635</v>
      </c>
    </row>
    <row r="239" spans="1:31" ht="13.9" customHeight="1" x14ac:dyDescent="0.25">
      <c r="A239" s="234"/>
      <c r="B239" s="293"/>
      <c r="C239" s="159" t="s">
        <v>58</v>
      </c>
      <c r="D239" s="37" t="s">
        <v>59</v>
      </c>
      <c r="E239" s="165">
        <v>6</v>
      </c>
      <c r="F239" s="165">
        <v>6</v>
      </c>
      <c r="G239" s="160">
        <v>6</v>
      </c>
      <c r="H239" s="165">
        <v>6</v>
      </c>
      <c r="I239" s="165">
        <v>6</v>
      </c>
      <c r="J239" s="61">
        <f>K239</f>
        <v>234360</v>
      </c>
      <c r="K239" s="61">
        <f>10000*1.5*1.302*12</f>
        <v>234360</v>
      </c>
      <c r="L239" s="61"/>
      <c r="M239" s="61"/>
      <c r="N239" s="61">
        <f>O239</f>
        <v>1406160</v>
      </c>
      <c r="O239" s="61">
        <f>G239*K239</f>
        <v>1406160</v>
      </c>
      <c r="P239" s="61"/>
      <c r="Q239" s="61"/>
      <c r="R239" s="61"/>
      <c r="S239" s="61"/>
      <c r="T239" s="61">
        <f>H239*K239-1406160</f>
        <v>0</v>
      </c>
      <c r="U239" s="61">
        <f>I239*K239-1406160</f>
        <v>0</v>
      </c>
    </row>
    <row r="240" spans="1:31" ht="31.9" customHeight="1" x14ac:dyDescent="0.25">
      <c r="A240" s="234"/>
      <c r="B240" s="293"/>
      <c r="C240" s="162" t="s">
        <v>636</v>
      </c>
      <c r="D240" s="37"/>
      <c r="E240" s="165" t="s">
        <v>505</v>
      </c>
      <c r="F240" s="165" t="s">
        <v>505</v>
      </c>
      <c r="G240" s="194" t="s">
        <v>586</v>
      </c>
      <c r="H240" s="194" t="s">
        <v>587</v>
      </c>
      <c r="I240" s="194" t="s">
        <v>588</v>
      </c>
      <c r="J240" s="61" t="s">
        <v>26</v>
      </c>
      <c r="K240" s="61" t="s">
        <v>26</v>
      </c>
      <c r="L240" s="61" t="s">
        <v>26</v>
      </c>
      <c r="M240" s="61" t="s">
        <v>26</v>
      </c>
      <c r="N240" s="62">
        <f>SUM(O240:R240)</f>
        <v>18009896.909999996</v>
      </c>
      <c r="O240" s="61">
        <f>SUM(O230:O239)</f>
        <v>10445981.889999999</v>
      </c>
      <c r="P240" s="61">
        <f>SUM(P230:P238)</f>
        <v>1997888.51</v>
      </c>
      <c r="Q240" s="61"/>
      <c r="R240" s="62">
        <f>SUM(R230:R238)</f>
        <v>5566026.5099999998</v>
      </c>
      <c r="S240" s="61"/>
      <c r="T240" s="6">
        <f>SUM(T230:T239)</f>
        <v>17141380.569999997</v>
      </c>
      <c r="U240" s="61">
        <f>T240</f>
        <v>17141380.569999997</v>
      </c>
      <c r="V240" s="8"/>
      <c r="W240" s="157" t="s">
        <v>422</v>
      </c>
      <c r="Z240" s="157" t="s">
        <v>336</v>
      </c>
      <c r="AB240" s="157" t="s">
        <v>537</v>
      </c>
      <c r="AE240" s="157" t="s">
        <v>336</v>
      </c>
    </row>
    <row r="241" spans="1:31" ht="210" x14ac:dyDescent="0.25">
      <c r="A241" s="234"/>
      <c r="B241" s="304" t="s">
        <v>622</v>
      </c>
      <c r="C241" s="287" t="s">
        <v>71</v>
      </c>
      <c r="D241" s="37" t="s">
        <v>70</v>
      </c>
      <c r="E241" s="160" t="s">
        <v>445</v>
      </c>
      <c r="F241" s="160" t="s">
        <v>506</v>
      </c>
      <c r="G241" s="160" t="s">
        <v>507</v>
      </c>
      <c r="H241" s="160" t="s">
        <v>592</v>
      </c>
      <c r="I241" s="160" t="s">
        <v>507</v>
      </c>
      <c r="J241" s="6" t="s">
        <v>571</v>
      </c>
      <c r="K241" s="6" t="s">
        <v>572</v>
      </c>
      <c r="L241" s="6" t="s">
        <v>573</v>
      </c>
      <c r="M241" s="6" t="s">
        <v>633</v>
      </c>
      <c r="N241" s="61">
        <f>SUM(O241:R241)</f>
        <v>4111157.6799999997</v>
      </c>
      <c r="O241" s="6">
        <f>((((1428519.97*2)/12*8+(1428519.97*2)/12*4)+((2726.4*10)/12*8+(2726.4*10)/12*4)))</f>
        <v>2884303.94</v>
      </c>
      <c r="P241" s="61">
        <f>((332314.42*2)/12*8)+((332314.42*2)/12*4)</f>
        <v>664628.84</v>
      </c>
      <c r="Q241" s="61"/>
      <c r="R241" s="61">
        <f>56222.49*10</f>
        <v>562224.9</v>
      </c>
      <c r="S241" s="61"/>
      <c r="T241" s="61">
        <f>W241</f>
        <v>4523799.9099999992</v>
      </c>
      <c r="U241" s="61">
        <f>AB241</f>
        <v>4000386.2066666665</v>
      </c>
      <c r="W241" s="62">
        <f>SUM(X241:Z241)</f>
        <v>4523799.9099999992</v>
      </c>
      <c r="X241" s="6">
        <f>((((1428519.97*2)/12*8+(1428519.97*2)/12*4)+((2726.4*17)/12*8+(2726.4*17)/12*4)))</f>
        <v>2903388.7399999998</v>
      </c>
      <c r="Y241" s="61">
        <f>((332314.42*2)/12*8)+((332314.42*2)/12*4)</f>
        <v>664628.84</v>
      </c>
      <c r="Z241" s="61">
        <f>56222.49*17</f>
        <v>955782.33</v>
      </c>
      <c r="AB241" s="62">
        <f>SUM(AC241:AE241)</f>
        <v>4000386.2066666665</v>
      </c>
      <c r="AC241" s="6">
        <f>((((1428519.97*2)/12*8+(1428519.97*2)/12*4)+((2726.4*10)/12*8+(2726.4*10)/12*4)))</f>
        <v>2884303.94</v>
      </c>
      <c r="AD241" s="61">
        <f>((332314.42*2)/12*8)+((332314.42)/12*4)</f>
        <v>553857.3666666667</v>
      </c>
      <c r="AE241" s="61">
        <f>56222.49*10</f>
        <v>562224.9</v>
      </c>
    </row>
    <row r="242" spans="1:31" ht="90" x14ac:dyDescent="0.25">
      <c r="A242" s="234"/>
      <c r="B242" s="293"/>
      <c r="C242" s="287" t="s">
        <v>25</v>
      </c>
      <c r="D242" s="37" t="s">
        <v>24</v>
      </c>
      <c r="E242" s="160"/>
      <c r="F242" s="160"/>
      <c r="G242" s="160"/>
      <c r="H242" s="160"/>
      <c r="I242" s="160"/>
      <c r="J242" s="6"/>
      <c r="K242" s="6"/>
      <c r="L242" s="6"/>
      <c r="M242" s="6"/>
      <c r="N242" s="61"/>
      <c r="O242" s="6"/>
      <c r="P242" s="61"/>
      <c r="Q242" s="61"/>
      <c r="R242" s="61"/>
      <c r="S242" s="61"/>
      <c r="T242" s="61"/>
      <c r="U242" s="61"/>
    </row>
    <row r="243" spans="1:31" x14ac:dyDescent="0.25">
      <c r="A243" s="234"/>
      <c r="B243" s="293"/>
      <c r="C243" s="189" t="s">
        <v>29</v>
      </c>
      <c r="D243" s="37" t="s">
        <v>24</v>
      </c>
      <c r="E243" s="160"/>
      <c r="F243" s="160"/>
      <c r="G243" s="160">
        <v>0</v>
      </c>
      <c r="H243" s="160"/>
      <c r="I243" s="160"/>
      <c r="J243" s="6">
        <f>K243</f>
        <v>136956.54999999999</v>
      </c>
      <c r="K243" s="6">
        <v>136956.54999999999</v>
      </c>
      <c r="L243" s="6"/>
      <c r="M243" s="6"/>
      <c r="N243" s="61">
        <f>O243</f>
        <v>0</v>
      </c>
      <c r="O243" s="6">
        <f>K243*G243</f>
        <v>0</v>
      </c>
      <c r="P243" s="61"/>
      <c r="Q243" s="61"/>
      <c r="R243" s="61"/>
      <c r="S243" s="61"/>
      <c r="T243" s="61">
        <f>H243*K243</f>
        <v>0</v>
      </c>
      <c r="U243" s="61">
        <f>I243*K243</f>
        <v>0</v>
      </c>
    </row>
    <row r="244" spans="1:31" x14ac:dyDescent="0.25">
      <c r="A244" s="234"/>
      <c r="B244" s="293"/>
      <c r="C244" s="189" t="s">
        <v>34</v>
      </c>
      <c r="D244" s="37" t="s">
        <v>24</v>
      </c>
      <c r="E244" s="160"/>
      <c r="F244" s="160"/>
      <c r="G244" s="160">
        <v>0</v>
      </c>
      <c r="H244" s="160"/>
      <c r="I244" s="160"/>
      <c r="J244" s="6">
        <f>K244</f>
        <v>20612.03</v>
      </c>
      <c r="K244" s="6">
        <v>20612.03</v>
      </c>
      <c r="L244" s="6"/>
      <c r="M244" s="6"/>
      <c r="N244" s="61">
        <f>O244</f>
        <v>0</v>
      </c>
      <c r="O244" s="6">
        <f>K244*G244</f>
        <v>0</v>
      </c>
      <c r="P244" s="61"/>
      <c r="Q244" s="61"/>
      <c r="R244" s="61"/>
      <c r="S244" s="61"/>
      <c r="T244" s="61">
        <f>H244*K244</f>
        <v>0</v>
      </c>
      <c r="U244" s="61">
        <f>I244*K244</f>
        <v>0</v>
      </c>
    </row>
    <row r="245" spans="1:31" ht="13.9" customHeight="1" x14ac:dyDescent="0.25">
      <c r="A245" s="234"/>
      <c r="B245" s="293"/>
      <c r="C245" s="159" t="s">
        <v>58</v>
      </c>
      <c r="D245" s="37" t="s">
        <v>59</v>
      </c>
      <c r="E245" s="160">
        <v>2</v>
      </c>
      <c r="F245" s="160">
        <v>2</v>
      </c>
      <c r="G245" s="160">
        <v>2</v>
      </c>
      <c r="H245" s="160">
        <v>2</v>
      </c>
      <c r="I245" s="160">
        <v>2</v>
      </c>
      <c r="J245" s="6">
        <f>K245</f>
        <v>234360</v>
      </c>
      <c r="K245" s="6">
        <f>10000*1.5*1.302*12</f>
        <v>234360</v>
      </c>
      <c r="L245" s="6"/>
      <c r="M245" s="6"/>
      <c r="N245" s="61">
        <f>O245</f>
        <v>468720</v>
      </c>
      <c r="O245" s="6">
        <f>K245*G245</f>
        <v>468720</v>
      </c>
      <c r="P245" s="61"/>
      <c r="Q245" s="61"/>
      <c r="R245" s="61"/>
      <c r="S245" s="61"/>
      <c r="T245" s="61">
        <f>H245*K245-468720</f>
        <v>0</v>
      </c>
      <c r="U245" s="61">
        <f>I245*K245-468720</f>
        <v>0</v>
      </c>
    </row>
    <row r="246" spans="1:31" ht="25.9" customHeight="1" x14ac:dyDescent="0.25">
      <c r="A246" s="234"/>
      <c r="B246" s="293"/>
      <c r="C246" s="162" t="s">
        <v>38</v>
      </c>
      <c r="D246" s="37"/>
      <c r="E246" s="160" t="str">
        <f>E241</f>
        <v>2\15</v>
      </c>
      <c r="F246" s="160" t="str">
        <f>F241</f>
        <v>2\9</v>
      </c>
      <c r="G246" s="193" t="str">
        <f>G241</f>
        <v>2\10</v>
      </c>
      <c r="H246" s="193" t="str">
        <f>H241</f>
        <v>2\17</v>
      </c>
      <c r="I246" s="193" t="str">
        <f>I241</f>
        <v>2\10</v>
      </c>
      <c r="J246" s="61" t="s">
        <v>26</v>
      </c>
      <c r="K246" s="61" t="s">
        <v>26</v>
      </c>
      <c r="L246" s="61" t="s">
        <v>26</v>
      </c>
      <c r="M246" s="61" t="s">
        <v>26</v>
      </c>
      <c r="N246" s="62">
        <f>SUM(N241:N245)</f>
        <v>4579877.68</v>
      </c>
      <c r="O246" s="61">
        <f>SUM(O241:O245)</f>
        <v>3353023.94</v>
      </c>
      <c r="P246" s="61">
        <f>SUM(P241:P244)</f>
        <v>664628.84</v>
      </c>
      <c r="Q246" s="61"/>
      <c r="R246" s="62">
        <f>SUM(R241:R244)</f>
        <v>562224.9</v>
      </c>
      <c r="S246" s="61"/>
      <c r="T246" s="61">
        <f>SUM(T241:T245)</f>
        <v>4523799.9099999992</v>
      </c>
      <c r="U246" s="61">
        <f>SUM(U241:U245)</f>
        <v>4000386.2066666665</v>
      </c>
    </row>
    <row r="247" spans="1:31" ht="57" customHeight="1" x14ac:dyDescent="0.25">
      <c r="A247" s="234"/>
      <c r="B247" s="229" t="s">
        <v>109</v>
      </c>
      <c r="C247" s="295" t="s">
        <v>75</v>
      </c>
      <c r="D247" s="37" t="s">
        <v>24</v>
      </c>
      <c r="E247" s="165">
        <f>566-9-187+88</f>
        <v>458</v>
      </c>
      <c r="F247" s="165">
        <f>566-9-99</f>
        <v>458</v>
      </c>
      <c r="G247" s="165">
        <v>458</v>
      </c>
      <c r="H247" s="165">
        <v>458</v>
      </c>
      <c r="I247" s="165">
        <v>458</v>
      </c>
      <c r="J247" s="61">
        <f>K247</f>
        <v>5740.85</v>
      </c>
      <c r="K247" s="61">
        <v>5740.85</v>
      </c>
      <c r="L247" s="61" t="s">
        <v>26</v>
      </c>
      <c r="M247" s="61" t="s">
        <v>26</v>
      </c>
      <c r="N247" s="61">
        <f>SUM(O247:R247)</f>
        <v>2629309.3000000003</v>
      </c>
      <c r="O247" s="61">
        <f>K247*G247</f>
        <v>2629309.3000000003</v>
      </c>
      <c r="P247" s="61" t="s">
        <v>26</v>
      </c>
      <c r="Q247" s="61"/>
      <c r="R247" s="61" t="s">
        <v>26</v>
      </c>
      <c r="S247" s="61"/>
      <c r="T247" s="61">
        <f>H247*K247</f>
        <v>2629309.3000000003</v>
      </c>
      <c r="U247" s="61">
        <f>I247*K247</f>
        <v>2629309.3000000003</v>
      </c>
      <c r="X247" s="8"/>
    </row>
    <row r="248" spans="1:31" ht="46.9" customHeight="1" x14ac:dyDescent="0.25">
      <c r="A248" s="234"/>
      <c r="B248" s="230"/>
      <c r="C248" s="296"/>
      <c r="D248" s="37" t="s">
        <v>225</v>
      </c>
      <c r="E248" s="165">
        <v>65196</v>
      </c>
      <c r="F248" s="165">
        <v>65196</v>
      </c>
      <c r="G248" s="165">
        <v>41472</v>
      </c>
      <c r="H248" s="165">
        <v>41472</v>
      </c>
      <c r="I248" s="165">
        <v>41472</v>
      </c>
      <c r="J248" s="61">
        <f>K248</f>
        <v>63.399626253858031</v>
      </c>
      <c r="K248" s="61">
        <f>N248/G248</f>
        <v>63.399626253858031</v>
      </c>
      <c r="L248" s="61" t="s">
        <v>26</v>
      </c>
      <c r="M248" s="61" t="s">
        <v>26</v>
      </c>
      <c r="N248" s="61">
        <f>N247</f>
        <v>2629309.3000000003</v>
      </c>
      <c r="O248" s="61">
        <f>O247</f>
        <v>2629309.3000000003</v>
      </c>
      <c r="P248" s="61" t="s">
        <v>26</v>
      </c>
      <c r="Q248" s="61"/>
      <c r="R248" s="61" t="s">
        <v>26</v>
      </c>
      <c r="S248" s="61"/>
      <c r="T248" s="61">
        <f>T247/G248*H248</f>
        <v>2629309.3000000003</v>
      </c>
      <c r="U248" s="61">
        <f>U247/G248*I248</f>
        <v>2629309.3000000003</v>
      </c>
      <c r="X248" s="8"/>
    </row>
    <row r="249" spans="1:31" x14ac:dyDescent="0.25">
      <c r="A249" s="234"/>
      <c r="B249" s="218"/>
      <c r="C249" s="297" t="s">
        <v>38</v>
      </c>
      <c r="D249" s="10"/>
      <c r="E249" s="4">
        <f>SUM(E247:E247)</f>
        <v>458</v>
      </c>
      <c r="F249" s="165">
        <f>SUM(F247:F247)</f>
        <v>458</v>
      </c>
      <c r="G249" s="165">
        <f>SUM(G247:G247)</f>
        <v>458</v>
      </c>
      <c r="H249" s="165">
        <f>SUM(H247:H247)</f>
        <v>458</v>
      </c>
      <c r="I249" s="165">
        <f>SUM(I247:I247)</f>
        <v>458</v>
      </c>
      <c r="J249" s="61" t="s">
        <v>26</v>
      </c>
      <c r="K249" s="61" t="s">
        <v>26</v>
      </c>
      <c r="L249" s="61" t="s">
        <v>26</v>
      </c>
      <c r="M249" s="61">
        <f t="shared" ref="M249:R249" si="83">SUM(M247:M247)</f>
        <v>0</v>
      </c>
      <c r="N249" s="62">
        <f t="shared" si="83"/>
        <v>2629309.3000000003</v>
      </c>
      <c r="O249" s="61">
        <f t="shared" si="83"/>
        <v>2629309.3000000003</v>
      </c>
      <c r="P249" s="61">
        <f t="shared" si="83"/>
        <v>0</v>
      </c>
      <c r="Q249" s="61"/>
      <c r="R249" s="61">
        <f t="shared" si="83"/>
        <v>0</v>
      </c>
      <c r="S249" s="61"/>
      <c r="T249" s="61">
        <f>N247</f>
        <v>2629309.3000000003</v>
      </c>
      <c r="U249" s="61">
        <f>T247</f>
        <v>2629309.3000000003</v>
      </c>
    </row>
    <row r="250" spans="1:31" x14ac:dyDescent="0.25">
      <c r="A250" s="234"/>
      <c r="B250" s="158" t="s">
        <v>43</v>
      </c>
      <c r="C250" s="189" t="s">
        <v>44</v>
      </c>
      <c r="D250" s="10"/>
      <c r="E250" s="4"/>
      <c r="F250" s="165"/>
      <c r="G250" s="165"/>
      <c r="H250" s="165"/>
      <c r="I250" s="165"/>
      <c r="J250" s="61"/>
      <c r="K250" s="61"/>
      <c r="L250" s="61"/>
      <c r="M250" s="61"/>
      <c r="N250" s="61">
        <f>P250</f>
        <v>0</v>
      </c>
      <c r="O250" s="61"/>
      <c r="P250" s="61"/>
      <c r="Q250" s="61"/>
      <c r="R250" s="61"/>
      <c r="S250" s="61"/>
      <c r="T250" s="61">
        <f>P250</f>
        <v>0</v>
      </c>
      <c r="U250" s="61">
        <f t="shared" ref="U250:U255" si="84">T250</f>
        <v>0</v>
      </c>
    </row>
    <row r="251" spans="1:31" x14ac:dyDescent="0.25">
      <c r="A251" s="234"/>
      <c r="B251" s="158" t="s">
        <v>53</v>
      </c>
      <c r="C251" s="218" t="s">
        <v>54</v>
      </c>
      <c r="D251" s="37" t="s">
        <v>24</v>
      </c>
      <c r="E251" s="4"/>
      <c r="F251" s="165"/>
      <c r="G251" s="165"/>
      <c r="H251" s="165"/>
      <c r="I251" s="165"/>
      <c r="J251" s="61"/>
      <c r="K251" s="61"/>
      <c r="L251" s="61"/>
      <c r="M251" s="61"/>
      <c r="N251" s="61">
        <f>S251</f>
        <v>0</v>
      </c>
      <c r="O251" s="61"/>
      <c r="P251" s="61"/>
      <c r="Q251" s="61"/>
      <c r="R251" s="61"/>
      <c r="S251" s="61"/>
      <c r="T251" s="61">
        <f>S251</f>
        <v>0</v>
      </c>
      <c r="U251" s="61">
        <f t="shared" si="84"/>
        <v>0</v>
      </c>
    </row>
    <row r="252" spans="1:31" hidden="1" x14ac:dyDescent="0.25">
      <c r="A252" s="234"/>
      <c r="B252" s="158" t="s">
        <v>53</v>
      </c>
      <c r="C252" s="218" t="s">
        <v>44</v>
      </c>
      <c r="D252" s="37" t="s">
        <v>24</v>
      </c>
      <c r="E252" s="4"/>
      <c r="F252" s="165"/>
      <c r="G252" s="165"/>
      <c r="H252" s="165"/>
      <c r="I252" s="165"/>
      <c r="J252" s="61"/>
      <c r="K252" s="61"/>
      <c r="L252" s="61"/>
      <c r="M252" s="61"/>
      <c r="N252" s="61">
        <f>Q252</f>
        <v>0</v>
      </c>
      <c r="O252" s="61"/>
      <c r="P252" s="61"/>
      <c r="Q252" s="61"/>
      <c r="R252" s="61"/>
      <c r="S252" s="61"/>
      <c r="T252" s="61"/>
      <c r="U252" s="61"/>
    </row>
    <row r="253" spans="1:31" hidden="1" x14ac:dyDescent="0.25">
      <c r="A253" s="234"/>
      <c r="B253" s="158" t="s">
        <v>55</v>
      </c>
      <c r="C253" s="218" t="s">
        <v>54</v>
      </c>
      <c r="D253" s="37"/>
      <c r="E253" s="4"/>
      <c r="F253" s="165"/>
      <c r="G253" s="165"/>
      <c r="H253" s="165"/>
      <c r="I253" s="165"/>
      <c r="J253" s="61"/>
      <c r="K253" s="61"/>
      <c r="L253" s="61"/>
      <c r="M253" s="61"/>
      <c r="N253" s="61">
        <f>S253</f>
        <v>0</v>
      </c>
      <c r="O253" s="61"/>
      <c r="P253" s="61"/>
      <c r="Q253" s="61"/>
      <c r="R253" s="61"/>
      <c r="S253" s="61"/>
      <c r="T253" s="61"/>
      <c r="U253" s="61"/>
    </row>
    <row r="254" spans="1:31" x14ac:dyDescent="0.25">
      <c r="A254" s="234"/>
      <c r="B254" s="158" t="s">
        <v>47</v>
      </c>
      <c r="C254" s="218" t="s">
        <v>44</v>
      </c>
      <c r="D254" s="37"/>
      <c r="E254" s="4">
        <v>13</v>
      </c>
      <c r="F254" s="165">
        <v>13</v>
      </c>
      <c r="G254" s="165">
        <v>13</v>
      </c>
      <c r="H254" s="165">
        <v>13</v>
      </c>
      <c r="I254" s="165">
        <v>13</v>
      </c>
      <c r="J254" s="61"/>
      <c r="K254" s="61"/>
      <c r="L254" s="61"/>
      <c r="M254" s="61"/>
      <c r="N254" s="61">
        <v>0</v>
      </c>
      <c r="O254" s="61">
        <f>O245+O239+O228</f>
        <v>3046680</v>
      </c>
      <c r="P254" s="61"/>
      <c r="Q254" s="61"/>
      <c r="R254" s="61"/>
      <c r="S254" s="61"/>
      <c r="T254" s="61">
        <v>3046680</v>
      </c>
      <c r="U254" s="61">
        <f>T254</f>
        <v>3046680</v>
      </c>
    </row>
    <row r="255" spans="1:31" ht="13.9" hidden="1" customHeight="1" x14ac:dyDescent="0.25">
      <c r="A255" s="234"/>
      <c r="B255" s="158" t="s">
        <v>48</v>
      </c>
      <c r="C255" s="218" t="s">
        <v>44</v>
      </c>
      <c r="D255" s="37"/>
      <c r="E255" s="4"/>
      <c r="F255" s="165"/>
      <c r="G255" s="165"/>
      <c r="H255" s="165"/>
      <c r="I255" s="165"/>
      <c r="J255" s="61"/>
      <c r="K255" s="61"/>
      <c r="L255" s="61"/>
      <c r="M255" s="61"/>
      <c r="N255" s="61">
        <f t="shared" ref="N255" si="85">O255</f>
        <v>0</v>
      </c>
      <c r="O255" s="61"/>
      <c r="P255" s="61">
        <f t="shared" ref="P255:P256" si="86">G255*L255</f>
        <v>0</v>
      </c>
      <c r="Q255" s="61"/>
      <c r="R255" s="61"/>
      <c r="S255" s="61"/>
      <c r="T255" s="61">
        <f>O255</f>
        <v>0</v>
      </c>
      <c r="U255" s="61">
        <f t="shared" si="84"/>
        <v>0</v>
      </c>
    </row>
    <row r="256" spans="1:31" ht="13.9" customHeight="1" x14ac:dyDescent="0.25">
      <c r="A256" s="234"/>
      <c r="B256" s="159" t="s">
        <v>45</v>
      </c>
      <c r="C256" s="218" t="s">
        <v>44</v>
      </c>
      <c r="D256" s="298" t="s">
        <v>46</v>
      </c>
      <c r="E256" s="4">
        <f>1+3</f>
        <v>4</v>
      </c>
      <c r="F256" s="165">
        <f>1+3</f>
        <v>4</v>
      </c>
      <c r="G256" s="160">
        <v>4</v>
      </c>
      <c r="H256" s="165">
        <f>1+3</f>
        <v>4</v>
      </c>
      <c r="I256" s="165">
        <f>1+3</f>
        <v>4</v>
      </c>
      <c r="J256" s="61"/>
      <c r="K256" s="61"/>
      <c r="L256" s="61">
        <v>354516.06</v>
      </c>
      <c r="M256" s="61"/>
      <c r="N256" s="61">
        <f>P256</f>
        <v>1418064.24</v>
      </c>
      <c r="O256" s="61"/>
      <c r="P256" s="61">
        <f t="shared" si="86"/>
        <v>1418064.24</v>
      </c>
      <c r="Q256" s="61"/>
      <c r="R256" s="61"/>
      <c r="S256" s="61"/>
      <c r="T256" s="61">
        <f>P256</f>
        <v>1418064.24</v>
      </c>
      <c r="U256" s="61">
        <f>T256</f>
        <v>1418064.24</v>
      </c>
    </row>
    <row r="257" spans="1:28" ht="29.25" x14ac:dyDescent="0.25">
      <c r="A257" s="234"/>
      <c r="B257" s="159" t="s">
        <v>45</v>
      </c>
      <c r="C257" s="297" t="s">
        <v>44</v>
      </c>
      <c r="D257" s="298" t="s">
        <v>46</v>
      </c>
      <c r="E257" s="165">
        <f>6-3</f>
        <v>3</v>
      </c>
      <c r="F257" s="165">
        <f>6-3</f>
        <v>3</v>
      </c>
      <c r="G257" s="165">
        <f>6-3</f>
        <v>3</v>
      </c>
      <c r="H257" s="165">
        <f>6-3</f>
        <v>3</v>
      </c>
      <c r="I257" s="165">
        <f>6-3</f>
        <v>3</v>
      </c>
      <c r="J257" s="61"/>
      <c r="K257" s="61"/>
      <c r="L257" s="61">
        <v>354411.02</v>
      </c>
      <c r="M257" s="61"/>
      <c r="N257" s="61">
        <f>P257</f>
        <v>1063233.06</v>
      </c>
      <c r="O257" s="61"/>
      <c r="P257" s="61">
        <f>G257*L257</f>
        <v>1063233.06</v>
      </c>
      <c r="Q257" s="61"/>
      <c r="R257" s="61"/>
      <c r="S257" s="61"/>
      <c r="T257" s="61">
        <f>P257</f>
        <v>1063233.06</v>
      </c>
      <c r="U257" s="61">
        <f>T257</f>
        <v>1063233.06</v>
      </c>
    </row>
    <row r="258" spans="1:28" ht="23.45" customHeight="1" x14ac:dyDescent="0.25">
      <c r="A258" s="235"/>
      <c r="B258" s="158" t="s">
        <v>50</v>
      </c>
      <c r="C258" s="218"/>
      <c r="D258" s="218"/>
      <c r="E258" s="195">
        <f>204-E238</f>
        <v>202</v>
      </c>
      <c r="F258" s="195">
        <v>185</v>
      </c>
      <c r="G258" s="195">
        <v>188</v>
      </c>
      <c r="H258" s="195">
        <v>189</v>
      </c>
      <c r="I258" s="195">
        <v>168</v>
      </c>
      <c r="J258" s="156"/>
      <c r="K258" s="156"/>
      <c r="L258" s="156"/>
      <c r="M258" s="156"/>
      <c r="N258" s="156">
        <f>SUM(O258:S258)</f>
        <v>42173881.059999995</v>
      </c>
      <c r="O258" s="156">
        <f>O229+O240+O246+O249+O255</f>
        <v>24798666.189999998</v>
      </c>
      <c r="P258" s="156">
        <f>P229+P240+P246+P249+P250+P251+P252+P257+P256</f>
        <v>6805386.75</v>
      </c>
      <c r="Q258" s="156">
        <f>Q229+Q240+Q246+Q249+Q250+Q251+Q252</f>
        <v>0</v>
      </c>
      <c r="R258" s="156">
        <f>R229+R240+R246+R249+R250+R251+R252+R253</f>
        <v>10569828.119999999</v>
      </c>
      <c r="S258" s="156">
        <f>S229+S240+S246+S249+S250+S251+S252+S253</f>
        <v>0</v>
      </c>
      <c r="T258" s="156">
        <f>T229+T240+T246+T249+T250+T251+T252+T253+T255+T256</f>
        <v>37709131.029999994</v>
      </c>
      <c r="U258" s="156">
        <f>U229+U240+U246+U249+U250+U251+U252+U253+U255+U256</f>
        <v>36352544.61666666</v>
      </c>
      <c r="X258" s="8"/>
      <c r="AB258" s="8"/>
    </row>
    <row r="259" spans="1:28" ht="19.149999999999999" customHeight="1" x14ac:dyDescent="0.25">
      <c r="A259" s="14"/>
      <c r="B259" s="236" t="s">
        <v>76</v>
      </c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8"/>
      <c r="N259" s="156">
        <f t="shared" ref="N259:U259" si="87">N258+N217+N172+N130+N90+N48</f>
        <v>479925829.74800003</v>
      </c>
      <c r="O259" s="156">
        <f t="shared" si="87"/>
        <v>311803096.32999998</v>
      </c>
      <c r="P259" s="156">
        <f t="shared" si="87"/>
        <v>67751945.978</v>
      </c>
      <c r="Q259" s="156">
        <f t="shared" si="87"/>
        <v>0</v>
      </c>
      <c r="R259" s="156">
        <f t="shared" si="87"/>
        <v>100370787.44</v>
      </c>
      <c r="S259" s="156">
        <f t="shared" si="87"/>
        <v>0</v>
      </c>
      <c r="T259" s="156">
        <f t="shared" si="87"/>
        <v>457819878.39999998</v>
      </c>
      <c r="U259" s="156">
        <f t="shared" si="87"/>
        <v>460497684.53666663</v>
      </c>
      <c r="Y259" s="305"/>
    </row>
    <row r="260" spans="1:28" x14ac:dyDescent="0.25">
      <c r="A260" s="1" t="s">
        <v>77</v>
      </c>
      <c r="T260" s="22"/>
      <c r="U260" s="22"/>
    </row>
    <row r="261" spans="1:28" x14ac:dyDescent="0.25">
      <c r="A261" s="1" t="s">
        <v>78</v>
      </c>
      <c r="O261" s="8"/>
      <c r="R261" s="8"/>
      <c r="T261" s="8"/>
    </row>
    <row r="262" spans="1:28" ht="13.9" customHeight="1" x14ac:dyDescent="0.25">
      <c r="T262" s="8"/>
      <c r="U262" s="8"/>
    </row>
    <row r="263" spans="1:28" x14ac:dyDescent="0.25">
      <c r="O263" s="8"/>
      <c r="S263" s="8"/>
      <c r="V263" s="8"/>
      <c r="W263" s="8"/>
    </row>
    <row r="264" spans="1:28" x14ac:dyDescent="0.25">
      <c r="O264" s="8"/>
      <c r="P264" s="8"/>
      <c r="R264" s="8"/>
    </row>
    <row r="265" spans="1:28" x14ac:dyDescent="0.25">
      <c r="O265" s="8"/>
      <c r="P265" s="8"/>
      <c r="R265" s="8"/>
      <c r="T265" s="8"/>
    </row>
    <row r="266" spans="1:28" x14ac:dyDescent="0.25">
      <c r="O266" s="8"/>
      <c r="P266" s="8"/>
      <c r="R266" s="8"/>
    </row>
    <row r="267" spans="1:28" hidden="1" x14ac:dyDescent="0.25">
      <c r="O267" s="108">
        <f>O254+O214+O169+O127+O87+O45</f>
        <v>32341700</v>
      </c>
      <c r="P267" s="8"/>
      <c r="R267" s="15">
        <f>R258-9296123.24</f>
        <v>1273704.879999999</v>
      </c>
    </row>
    <row r="268" spans="1:28" x14ac:dyDescent="0.25">
      <c r="O268" s="8"/>
      <c r="P268" s="8"/>
    </row>
    <row r="269" spans="1:28" x14ac:dyDescent="0.25">
      <c r="O269" s="8"/>
      <c r="P269" s="8"/>
    </row>
    <row r="270" spans="1:28" x14ac:dyDescent="0.25">
      <c r="O270" s="8"/>
      <c r="P270" s="8"/>
    </row>
    <row r="271" spans="1:28" x14ac:dyDescent="0.25">
      <c r="I271" s="16"/>
      <c r="O271" s="8"/>
      <c r="P271" s="8"/>
    </row>
    <row r="272" spans="1:28" x14ac:dyDescent="0.25">
      <c r="O272" s="8"/>
      <c r="P272" s="8"/>
    </row>
    <row r="273" spans="15:18" x14ac:dyDescent="0.25">
      <c r="O273" s="8"/>
      <c r="P273" s="8"/>
    </row>
    <row r="274" spans="15:18" x14ac:dyDescent="0.25">
      <c r="O274" s="8"/>
      <c r="P274" s="8"/>
    </row>
    <row r="275" spans="15:18" x14ac:dyDescent="0.25">
      <c r="O275" s="8"/>
      <c r="P275" s="8"/>
    </row>
    <row r="276" spans="15:18" x14ac:dyDescent="0.25">
      <c r="O276" s="8"/>
      <c r="P276" s="8"/>
    </row>
    <row r="277" spans="15:18" x14ac:dyDescent="0.25">
      <c r="O277" s="8"/>
      <c r="P277" s="8"/>
    </row>
    <row r="278" spans="15:18" x14ac:dyDescent="0.25">
      <c r="R278" s="8"/>
    </row>
    <row r="279" spans="15:18" x14ac:dyDescent="0.25">
      <c r="R279" s="8"/>
    </row>
    <row r="280" spans="15:18" x14ac:dyDescent="0.25">
      <c r="O280" s="8"/>
      <c r="R280" s="8"/>
    </row>
    <row r="301" spans="15:17" x14ac:dyDescent="0.25">
      <c r="O301" s="8"/>
      <c r="P301" s="8"/>
      <c r="Q301" s="8"/>
    </row>
    <row r="302" spans="15:17" x14ac:dyDescent="0.25">
      <c r="O302" s="8"/>
      <c r="P302" s="8"/>
      <c r="Q302" s="8"/>
    </row>
    <row r="303" spans="15:17" x14ac:dyDescent="0.25">
      <c r="O303" s="8"/>
      <c r="P303" s="8"/>
      <c r="Q303" s="8"/>
    </row>
    <row r="306" spans="1:15" x14ac:dyDescent="0.25">
      <c r="O306" s="8"/>
    </row>
    <row r="308" spans="1:15" ht="13.9" hidden="1" customHeight="1" x14ac:dyDescent="0.25">
      <c r="H308" s="1">
        <v>2</v>
      </c>
    </row>
    <row r="309" spans="1:15" ht="13.9" hidden="1" customHeight="1" x14ac:dyDescent="0.25">
      <c r="D309" s="17">
        <v>286</v>
      </c>
      <c r="E309" s="17"/>
      <c r="F309" s="17"/>
      <c r="G309" s="17">
        <v>3</v>
      </c>
      <c r="H309" s="17">
        <v>244</v>
      </c>
      <c r="I309" s="17">
        <v>46</v>
      </c>
      <c r="J309" s="17">
        <v>69</v>
      </c>
      <c r="K309" s="17">
        <f>D309+G309+H309+I309+J309</f>
        <v>648</v>
      </c>
      <c r="L309" s="1" t="s">
        <v>79</v>
      </c>
      <c r="M309" s="1" t="s">
        <v>80</v>
      </c>
      <c r="N309" s="1" t="s">
        <v>81</v>
      </c>
    </row>
    <row r="310" spans="1:15" ht="27.6" hidden="1" customHeight="1" x14ac:dyDescent="0.25">
      <c r="A310" s="1" t="s">
        <v>82</v>
      </c>
      <c r="B310" s="288" t="s">
        <v>43</v>
      </c>
      <c r="C310" s="18">
        <v>118131</v>
      </c>
      <c r="D310" s="19"/>
      <c r="E310" s="20"/>
      <c r="F310" s="20"/>
      <c r="G310" s="20"/>
      <c r="H310" s="20"/>
      <c r="I310" s="20"/>
      <c r="J310" s="20"/>
      <c r="K310" s="20"/>
      <c r="L310" s="8">
        <f>(C310+C316)</f>
        <v>522719</v>
      </c>
      <c r="M310" s="8">
        <f>(C314+C315)</f>
        <v>1356154</v>
      </c>
      <c r="N310" s="8">
        <f>(C311+C313)</f>
        <v>3584396</v>
      </c>
      <c r="O310" s="8">
        <f>L310+M310+N310</f>
        <v>5463269</v>
      </c>
    </row>
    <row r="311" spans="1:15" ht="13.9" hidden="1" customHeight="1" x14ac:dyDescent="0.25">
      <c r="B311" s="10" t="s">
        <v>53</v>
      </c>
      <c r="C311" s="18">
        <v>3308494</v>
      </c>
      <c r="D311" s="19"/>
      <c r="E311" s="20"/>
      <c r="F311" s="20"/>
      <c r="G311" s="20"/>
      <c r="H311" s="20"/>
      <c r="I311" s="20"/>
      <c r="J311" s="20"/>
      <c r="K311" s="20"/>
      <c r="L311" s="8">
        <f>L310/K309</f>
        <v>806.66512345679007</v>
      </c>
      <c r="M311" s="8">
        <f>M310/K309</f>
        <v>2092.8302469135801</v>
      </c>
      <c r="N311" s="8">
        <f>N310/K309</f>
        <v>5531.4753086419751</v>
      </c>
    </row>
    <row r="312" spans="1:15" ht="13.9" hidden="1" customHeight="1" x14ac:dyDescent="0.25">
      <c r="B312" s="10" t="s">
        <v>53</v>
      </c>
      <c r="C312" s="18"/>
      <c r="D312" s="19"/>
      <c r="E312" s="20"/>
      <c r="F312" s="20"/>
      <c r="G312" s="20"/>
      <c r="H312" s="20"/>
      <c r="I312" s="20"/>
      <c r="J312" s="20"/>
      <c r="K312" s="20"/>
      <c r="L312" s="8"/>
    </row>
    <row r="313" spans="1:15" ht="13.9" hidden="1" customHeight="1" x14ac:dyDescent="0.25">
      <c r="B313" s="10" t="s">
        <v>55</v>
      </c>
      <c r="C313" s="18">
        <v>275902</v>
      </c>
      <c r="D313" s="19"/>
      <c r="E313" s="20"/>
      <c r="F313" s="20"/>
      <c r="G313" s="20"/>
      <c r="H313" s="20"/>
      <c r="I313" s="20"/>
      <c r="J313" s="20"/>
      <c r="K313" s="20"/>
      <c r="L313" s="8">
        <f>C310+691346</f>
        <v>809477</v>
      </c>
      <c r="M313" s="8">
        <f>C315+3249792</f>
        <v>3522682</v>
      </c>
      <c r="N313" s="8">
        <f>C311</f>
        <v>3308494</v>
      </c>
    </row>
    <row r="314" spans="1:15" ht="13.9" hidden="1" customHeight="1" x14ac:dyDescent="0.25">
      <c r="B314" s="10" t="s">
        <v>47</v>
      </c>
      <c r="C314" s="18">
        <v>1083264</v>
      </c>
      <c r="D314" s="20"/>
      <c r="E314" s="20"/>
      <c r="F314" s="20"/>
      <c r="G314" s="20"/>
      <c r="H314" s="20"/>
      <c r="I314" s="20"/>
      <c r="J314" s="20"/>
      <c r="K314" s="20"/>
      <c r="L314" s="8">
        <f>L313-L310</f>
        <v>286758</v>
      </c>
      <c r="M314" s="8">
        <f>M313-M310</f>
        <v>2166528</v>
      </c>
      <c r="N314" s="8">
        <f>N313-N310</f>
        <v>-275902</v>
      </c>
    </row>
    <row r="315" spans="1:15" ht="13.9" hidden="1" customHeight="1" x14ac:dyDescent="0.25">
      <c r="B315" s="10" t="s">
        <v>48</v>
      </c>
      <c r="C315" s="18">
        <v>272890</v>
      </c>
      <c r="D315" s="20"/>
      <c r="E315" s="20"/>
      <c r="F315" s="20"/>
      <c r="G315" s="20"/>
      <c r="H315" s="20"/>
      <c r="I315" s="20"/>
      <c r="J315" s="20"/>
      <c r="K315" s="20"/>
      <c r="L315" s="8">
        <f>L314/K309</f>
        <v>442.52777777777777</v>
      </c>
      <c r="M315" s="8">
        <f>M314/K309</f>
        <v>3343.4074074074074</v>
      </c>
      <c r="N315" s="8">
        <f>N314/K309</f>
        <v>-425.77469135802471</v>
      </c>
    </row>
    <row r="316" spans="1:15" ht="13.9" hidden="1" customHeight="1" x14ac:dyDescent="0.25">
      <c r="B316" s="10" t="s">
        <v>49</v>
      </c>
      <c r="C316" s="18">
        <v>404588</v>
      </c>
      <c r="D316" s="20"/>
      <c r="E316" s="20"/>
      <c r="F316" s="20"/>
      <c r="G316" s="20"/>
      <c r="H316" s="20"/>
      <c r="I316" s="20"/>
      <c r="J316" s="20"/>
      <c r="K316" s="20"/>
      <c r="L316" s="8">
        <f>D309*L315</f>
        <v>126562.94444444444</v>
      </c>
      <c r="M316" s="8">
        <f>D309*M315</f>
        <v>956214.51851851854</v>
      </c>
      <c r="N316" s="8">
        <f>D309*N315</f>
        <v>-121771.56172839507</v>
      </c>
      <c r="O316" s="8">
        <f t="shared" ref="O316:O321" si="88">L316+M316+N316</f>
        <v>961005.90123456786</v>
      </c>
    </row>
    <row r="317" spans="1:15" ht="13.9" hidden="1" customHeight="1" x14ac:dyDescent="0.25">
      <c r="B317" s="306" t="s">
        <v>50</v>
      </c>
      <c r="C317" s="18">
        <f>SUM(C310:C316)</f>
        <v>5463269</v>
      </c>
      <c r="D317" s="20"/>
      <c r="E317" s="20"/>
      <c r="F317" s="20"/>
      <c r="G317" s="20"/>
      <c r="H317" s="20"/>
      <c r="I317" s="20"/>
      <c r="J317" s="20"/>
      <c r="K317" s="20"/>
      <c r="L317" s="8">
        <f>G309*L315</f>
        <v>1327.5833333333333</v>
      </c>
      <c r="M317" s="8">
        <f>G309*M315</f>
        <v>10030.222222222223</v>
      </c>
      <c r="N317" s="8">
        <f>G309*N315</f>
        <v>-1277.3240740740741</v>
      </c>
      <c r="O317" s="8">
        <f t="shared" si="88"/>
        <v>10080.481481481482</v>
      </c>
    </row>
    <row r="318" spans="1:15" ht="13.9" hidden="1" customHeight="1" x14ac:dyDescent="0.25">
      <c r="L318" s="8">
        <f>242*L315</f>
        <v>107091.72222222222</v>
      </c>
      <c r="M318" s="8">
        <f>242*M315</f>
        <v>809104.59259259258</v>
      </c>
      <c r="N318" s="8">
        <f>242*N315</f>
        <v>-103037.47530864198</v>
      </c>
      <c r="O318" s="8">
        <f t="shared" si="88"/>
        <v>813158.83950617281</v>
      </c>
    </row>
    <row r="319" spans="1:15" ht="13.9" hidden="1" customHeight="1" x14ac:dyDescent="0.25">
      <c r="D319" s="307"/>
      <c r="L319" s="8">
        <f>2*L315</f>
        <v>885.05555555555554</v>
      </c>
      <c r="M319" s="8">
        <f>2*M315</f>
        <v>6686.8148148148148</v>
      </c>
      <c r="N319" s="8">
        <f>2*N315</f>
        <v>-851.54938271604942</v>
      </c>
      <c r="O319" s="8">
        <f t="shared" si="88"/>
        <v>6720.3209876543206</v>
      </c>
    </row>
    <row r="320" spans="1:15" ht="13.9" hidden="1" customHeight="1" x14ac:dyDescent="0.25">
      <c r="D320" s="21"/>
      <c r="L320" s="8">
        <f>I309*L315</f>
        <v>20356.277777777777</v>
      </c>
      <c r="M320" s="8">
        <f>I309*M315</f>
        <v>153796.74074074073</v>
      </c>
      <c r="N320" s="8">
        <f>I309*N315</f>
        <v>-19585.635802469136</v>
      </c>
      <c r="O320" s="8">
        <f t="shared" si="88"/>
        <v>154567.38271604938</v>
      </c>
    </row>
    <row r="321" spans="1:15" ht="13.9" hidden="1" customHeight="1" x14ac:dyDescent="0.25">
      <c r="D321" s="21"/>
      <c r="L321" s="8">
        <f>J309*L315</f>
        <v>30534.416666666668</v>
      </c>
      <c r="M321" s="8">
        <f>J309*M315</f>
        <v>230695.11111111112</v>
      </c>
      <c r="N321" s="8">
        <f>J309*N315</f>
        <v>-29378.453703703704</v>
      </c>
      <c r="O321" s="8">
        <f t="shared" si="88"/>
        <v>231851.07407407407</v>
      </c>
    </row>
    <row r="322" spans="1:15" ht="13.9" hidden="1" customHeight="1" x14ac:dyDescent="0.25">
      <c r="D322" s="21"/>
    </row>
    <row r="323" spans="1:15" ht="13.9" hidden="1" customHeight="1" x14ac:dyDescent="0.25">
      <c r="D323" s="21"/>
    </row>
    <row r="324" spans="1:15" ht="13.9" hidden="1" customHeight="1" x14ac:dyDescent="0.25">
      <c r="D324" s="21"/>
    </row>
    <row r="325" spans="1:15" ht="13.9" hidden="1" customHeight="1" x14ac:dyDescent="0.25">
      <c r="D325" s="17">
        <v>261</v>
      </c>
      <c r="E325" s="17"/>
      <c r="F325" s="17"/>
      <c r="G325" s="17">
        <v>2</v>
      </c>
      <c r="H325" s="17">
        <v>219</v>
      </c>
      <c r="I325" s="17">
        <v>2</v>
      </c>
      <c r="J325" s="17">
        <v>44</v>
      </c>
      <c r="K325" s="17">
        <f>D325+G325+H325+I325+J325</f>
        <v>528</v>
      </c>
      <c r="L325" s="1" t="s">
        <v>79</v>
      </c>
      <c r="M325" s="1" t="s">
        <v>80</v>
      </c>
      <c r="N325" s="1" t="s">
        <v>81</v>
      </c>
    </row>
    <row r="326" spans="1:15" ht="27.6" hidden="1" customHeight="1" x14ac:dyDescent="0.25">
      <c r="A326" s="1" t="s">
        <v>83</v>
      </c>
      <c r="B326" s="288" t="s">
        <v>43</v>
      </c>
      <c r="C326" s="18">
        <v>96255</v>
      </c>
      <c r="D326" s="19"/>
      <c r="E326" s="20"/>
      <c r="F326" s="20"/>
      <c r="G326" s="20"/>
      <c r="H326" s="20"/>
      <c r="I326" s="20"/>
      <c r="J326" s="20"/>
      <c r="K326" s="20"/>
      <c r="L326" s="8">
        <f>C326+C328+C332</f>
        <v>1031146</v>
      </c>
      <c r="M326" s="8">
        <f>C330+C331</f>
        <v>1027677</v>
      </c>
      <c r="N326" s="8">
        <f>C327+C329</f>
        <v>4122597</v>
      </c>
      <c r="O326" s="8">
        <f>L326+M326+N326</f>
        <v>6181420</v>
      </c>
    </row>
    <row r="327" spans="1:15" ht="13.9" hidden="1" customHeight="1" x14ac:dyDescent="0.25">
      <c r="B327" s="10" t="s">
        <v>53</v>
      </c>
      <c r="C327" s="18">
        <v>3813252</v>
      </c>
      <c r="D327" s="19"/>
      <c r="E327" s="20"/>
      <c r="F327" s="20"/>
      <c r="G327" s="20"/>
      <c r="H327" s="20"/>
      <c r="I327" s="20"/>
      <c r="J327" s="20"/>
      <c r="K327" s="20"/>
      <c r="L327" s="8">
        <f>L326/K325</f>
        <v>1952.9280303030303</v>
      </c>
      <c r="M327" s="8">
        <f>M326/K325</f>
        <v>1946.3579545454545</v>
      </c>
      <c r="N327" s="8">
        <f>N326/K325</f>
        <v>7807.948863636364</v>
      </c>
    </row>
    <row r="328" spans="1:15" ht="13.9" hidden="1" customHeight="1" x14ac:dyDescent="0.25">
      <c r="B328" s="10" t="s">
        <v>53</v>
      </c>
      <c r="C328" s="18">
        <v>606031</v>
      </c>
      <c r="D328" s="19"/>
      <c r="E328" s="20"/>
      <c r="F328" s="20"/>
      <c r="G328" s="20"/>
      <c r="H328" s="20"/>
      <c r="I328" s="20"/>
      <c r="J328" s="20"/>
      <c r="K328" s="20"/>
    </row>
    <row r="329" spans="1:15" ht="13.9" hidden="1" customHeight="1" x14ac:dyDescent="0.25">
      <c r="B329" s="10" t="s">
        <v>55</v>
      </c>
      <c r="C329" s="18">
        <v>309345</v>
      </c>
      <c r="D329" s="19"/>
      <c r="E329" s="20"/>
      <c r="F329" s="20"/>
      <c r="G329" s="20"/>
      <c r="H329" s="20"/>
      <c r="I329" s="20"/>
      <c r="J329" s="20"/>
      <c r="K329" s="20"/>
      <c r="L329" s="8">
        <f>C326+C328+563319</f>
        <v>1265605</v>
      </c>
      <c r="M329" s="8">
        <f>C331+2624832</f>
        <v>2777565</v>
      </c>
      <c r="N329" s="8">
        <f>C327</f>
        <v>3813252</v>
      </c>
    </row>
    <row r="330" spans="1:15" ht="13.9" hidden="1" customHeight="1" x14ac:dyDescent="0.25">
      <c r="B330" s="10" t="s">
        <v>47</v>
      </c>
      <c r="C330" s="18">
        <v>874944</v>
      </c>
      <c r="D330" s="20"/>
      <c r="E330" s="20"/>
      <c r="F330" s="20"/>
      <c r="G330" s="20"/>
      <c r="H330" s="20"/>
      <c r="I330" s="20"/>
      <c r="J330" s="20"/>
      <c r="K330" s="20"/>
      <c r="L330" s="8">
        <f>L329-L326</f>
        <v>234459</v>
      </c>
      <c r="M330" s="8">
        <f>M329-M326</f>
        <v>1749888</v>
      </c>
      <c r="N330" s="8">
        <f>N329-N326</f>
        <v>-309345</v>
      </c>
    </row>
    <row r="331" spans="1:15" ht="13.9" hidden="1" customHeight="1" x14ac:dyDescent="0.25">
      <c r="B331" s="10" t="s">
        <v>48</v>
      </c>
      <c r="C331" s="18">
        <v>152733</v>
      </c>
      <c r="D331" s="20"/>
      <c r="E331" s="20"/>
      <c r="F331" s="20"/>
      <c r="G331" s="20"/>
      <c r="H331" s="20"/>
      <c r="I331" s="20"/>
      <c r="J331" s="20"/>
      <c r="K331" s="20"/>
      <c r="L331" s="22">
        <f>L330/K325</f>
        <v>444.05113636363637</v>
      </c>
      <c r="M331" s="22">
        <f>M330/K325</f>
        <v>3314.181818181818</v>
      </c>
      <c r="N331" s="22">
        <f>N330/K325</f>
        <v>-585.88068181818187</v>
      </c>
    </row>
    <row r="332" spans="1:15" ht="13.9" hidden="1" customHeight="1" x14ac:dyDescent="0.25">
      <c r="B332" s="10" t="s">
        <v>49</v>
      </c>
      <c r="C332" s="18">
        <v>328860</v>
      </c>
      <c r="D332" s="20"/>
      <c r="E332" s="20"/>
      <c r="F332" s="20"/>
      <c r="G332" s="20"/>
      <c r="H332" s="20"/>
      <c r="I332" s="20"/>
      <c r="J332" s="20"/>
      <c r="K332" s="20"/>
      <c r="L332" s="8">
        <f>D325*L331</f>
        <v>115897.34659090909</v>
      </c>
      <c r="M332" s="8">
        <f>M331*D325</f>
        <v>865001.45454545447</v>
      </c>
      <c r="N332" s="8">
        <f>D325*N331</f>
        <v>-152914.85795454547</v>
      </c>
      <c r="O332" s="8">
        <f>L332+M332+N332</f>
        <v>827983.94318181812</v>
      </c>
    </row>
    <row r="333" spans="1:15" ht="13.9" hidden="1" customHeight="1" x14ac:dyDescent="0.25">
      <c r="B333" s="306" t="s">
        <v>50</v>
      </c>
      <c r="C333" s="18">
        <f>SUM(C326:C332)</f>
        <v>6181420</v>
      </c>
      <c r="D333" s="20"/>
      <c r="E333" s="20"/>
      <c r="F333" s="20"/>
      <c r="G333" s="20"/>
      <c r="H333" s="20"/>
      <c r="I333" s="20"/>
      <c r="J333" s="20"/>
      <c r="K333" s="20"/>
      <c r="L333" s="8">
        <f>G325*L331</f>
        <v>888.10227272727275</v>
      </c>
      <c r="M333" s="8">
        <f>G325*M331</f>
        <v>6628.363636363636</v>
      </c>
      <c r="N333" s="8">
        <f>G325*N331</f>
        <v>-1171.7613636363637</v>
      </c>
      <c r="O333" s="8">
        <f>L333+M333+N333</f>
        <v>6344.704545454545</v>
      </c>
    </row>
    <row r="334" spans="1:15" ht="13.9" hidden="1" customHeight="1" x14ac:dyDescent="0.25">
      <c r="L334" s="8">
        <f>H325*L331</f>
        <v>97247.198863636368</v>
      </c>
      <c r="M334" s="8">
        <f>H325*M331</f>
        <v>725805.81818181812</v>
      </c>
      <c r="N334" s="8">
        <f>H325*N331</f>
        <v>-128307.86931818182</v>
      </c>
      <c r="O334" s="8">
        <f>L334+M334+N334</f>
        <v>694745.14772727271</v>
      </c>
    </row>
    <row r="335" spans="1:15" ht="13.9" hidden="1" customHeight="1" x14ac:dyDescent="0.25">
      <c r="L335" s="8">
        <f>I325*L331</f>
        <v>888.10227272727275</v>
      </c>
      <c r="M335" s="8">
        <f>I325*M331</f>
        <v>6628.363636363636</v>
      </c>
      <c r="N335" s="8">
        <f>I325*N331</f>
        <v>-1171.7613636363637</v>
      </c>
      <c r="O335" s="8">
        <f>L335+M335+N335</f>
        <v>6344.704545454545</v>
      </c>
    </row>
    <row r="336" spans="1:15" ht="13.9" hidden="1" customHeight="1" x14ac:dyDescent="0.25">
      <c r="L336" s="8">
        <f>J325*L331</f>
        <v>19538.25</v>
      </c>
      <c r="M336" s="8">
        <f>J325*M331</f>
        <v>145824</v>
      </c>
      <c r="N336" s="8">
        <f>J325*N331</f>
        <v>-25778.750000000004</v>
      </c>
      <c r="O336" s="8">
        <f>L336+M336+N336</f>
        <v>139583.5</v>
      </c>
    </row>
    <row r="337" spans="1:15" ht="13.9" hidden="1" customHeight="1" x14ac:dyDescent="0.25"/>
    <row r="338" spans="1:15" ht="13.9" hidden="1" customHeight="1" x14ac:dyDescent="0.25">
      <c r="D338" s="17">
        <v>242</v>
      </c>
      <c r="E338" s="17"/>
      <c r="F338" s="17"/>
      <c r="G338" s="17">
        <v>1</v>
      </c>
      <c r="H338" s="17">
        <v>224</v>
      </c>
      <c r="I338" s="17">
        <v>3</v>
      </c>
      <c r="J338" s="17">
        <v>69</v>
      </c>
      <c r="K338" s="17">
        <f>D338+G338+H338+I338+J338</f>
        <v>539</v>
      </c>
      <c r="L338" s="1" t="s">
        <v>79</v>
      </c>
      <c r="M338" s="1" t="s">
        <v>80</v>
      </c>
      <c r="N338" s="1" t="s">
        <v>81</v>
      </c>
    </row>
    <row r="339" spans="1:15" ht="27.6" hidden="1" customHeight="1" x14ac:dyDescent="0.25">
      <c r="A339" s="1" t="s">
        <v>84</v>
      </c>
      <c r="B339" s="288" t="s">
        <v>43</v>
      </c>
      <c r="C339" s="18">
        <v>98261</v>
      </c>
      <c r="D339" s="19"/>
      <c r="E339" s="20"/>
      <c r="F339" s="20"/>
      <c r="G339" s="20"/>
      <c r="H339" s="20"/>
      <c r="I339" s="20"/>
      <c r="J339" s="20"/>
      <c r="K339" s="20"/>
      <c r="L339" s="8">
        <f>C339+C341+C345</f>
        <v>598302</v>
      </c>
      <c r="M339" s="8">
        <f>C343</f>
        <v>874944</v>
      </c>
      <c r="N339" s="8">
        <f>C340+C342</f>
        <v>1479238</v>
      </c>
      <c r="O339" s="8">
        <f>L339+M339+N339</f>
        <v>2952484</v>
      </c>
    </row>
    <row r="340" spans="1:15" ht="13.9" hidden="1" customHeight="1" x14ac:dyDescent="0.25">
      <c r="B340" s="10" t="s">
        <v>53</v>
      </c>
      <c r="C340" s="18">
        <v>1362189</v>
      </c>
      <c r="D340" s="19"/>
      <c r="E340" s="20"/>
      <c r="F340" s="20"/>
      <c r="G340" s="20"/>
      <c r="H340" s="20"/>
      <c r="I340" s="20"/>
      <c r="J340" s="20"/>
      <c r="K340" s="20"/>
      <c r="L340" s="8">
        <f>L339/K338</f>
        <v>1110.0222634508348</v>
      </c>
      <c r="M340" s="8">
        <f>M339/K338</f>
        <v>1623.2727272727273</v>
      </c>
      <c r="N340" s="8">
        <f>N339/K338</f>
        <v>2744.4118738404454</v>
      </c>
    </row>
    <row r="341" spans="1:15" ht="13.9" hidden="1" customHeight="1" x14ac:dyDescent="0.25">
      <c r="B341" s="10" t="s">
        <v>53</v>
      </c>
      <c r="C341" s="18">
        <v>164828</v>
      </c>
      <c r="D341" s="19"/>
      <c r="E341" s="20"/>
      <c r="F341" s="20"/>
      <c r="G341" s="20"/>
      <c r="H341" s="20"/>
      <c r="I341" s="20"/>
      <c r="J341" s="20"/>
      <c r="K341" s="20"/>
    </row>
    <row r="342" spans="1:15" ht="13.9" hidden="1" customHeight="1" x14ac:dyDescent="0.25">
      <c r="B342" s="10" t="s">
        <v>55</v>
      </c>
      <c r="C342" s="18">
        <v>117049</v>
      </c>
      <c r="D342" s="19"/>
      <c r="E342" s="20"/>
      <c r="F342" s="20"/>
      <c r="G342" s="20"/>
      <c r="H342" s="20"/>
      <c r="I342" s="20"/>
      <c r="J342" s="20"/>
      <c r="K342" s="20"/>
      <c r="L342" s="8">
        <f>C339+C341+575056</f>
        <v>838145</v>
      </c>
      <c r="M342" s="8">
        <f>2624832</f>
        <v>2624832</v>
      </c>
      <c r="N342" s="8">
        <f>C340</f>
        <v>1362189</v>
      </c>
    </row>
    <row r="343" spans="1:15" ht="13.9" hidden="1" customHeight="1" x14ac:dyDescent="0.25">
      <c r="B343" s="10" t="s">
        <v>47</v>
      </c>
      <c r="C343" s="18">
        <v>874944</v>
      </c>
      <c r="D343" s="20"/>
      <c r="E343" s="20"/>
      <c r="F343" s="20"/>
      <c r="G343" s="20"/>
      <c r="H343" s="20"/>
      <c r="I343" s="20"/>
      <c r="J343" s="20"/>
      <c r="K343" s="20"/>
      <c r="L343" s="8">
        <f>L342-L339</f>
        <v>239843</v>
      </c>
      <c r="M343" s="8">
        <f>M342-M339</f>
        <v>1749888</v>
      </c>
      <c r="N343" s="8">
        <f>N342-N339</f>
        <v>-117049</v>
      </c>
    </row>
    <row r="344" spans="1:15" ht="13.9" hidden="1" customHeight="1" x14ac:dyDescent="0.25">
      <c r="B344" s="10" t="s">
        <v>48</v>
      </c>
      <c r="C344" s="18">
        <v>0</v>
      </c>
      <c r="D344" s="20"/>
      <c r="E344" s="20"/>
      <c r="F344" s="20"/>
      <c r="G344" s="20"/>
      <c r="H344" s="20"/>
      <c r="I344" s="20"/>
      <c r="J344" s="20"/>
      <c r="K344" s="20"/>
      <c r="L344" s="8">
        <f>L343/K338</f>
        <v>444.97773654916512</v>
      </c>
      <c r="M344" s="8">
        <f>M343/K338</f>
        <v>3246.5454545454545</v>
      </c>
      <c r="N344" s="8">
        <f>N343/K338</f>
        <v>-217.1595547309833</v>
      </c>
    </row>
    <row r="345" spans="1:15" ht="13.9" hidden="1" customHeight="1" x14ac:dyDescent="0.25">
      <c r="B345" s="10" t="s">
        <v>49</v>
      </c>
      <c r="C345" s="18">
        <v>335213</v>
      </c>
      <c r="D345" s="20"/>
      <c r="E345" s="20"/>
      <c r="F345" s="20"/>
      <c r="G345" s="20"/>
      <c r="H345" s="20"/>
      <c r="I345" s="20"/>
      <c r="J345" s="20"/>
      <c r="K345" s="20"/>
      <c r="L345" s="8">
        <f>D338*L344</f>
        <v>107684.61224489796</v>
      </c>
      <c r="M345" s="8">
        <f>D338*M344</f>
        <v>785664</v>
      </c>
      <c r="N345" s="8">
        <f>D338*N344</f>
        <v>-52552.612244897959</v>
      </c>
      <c r="O345" s="8">
        <f>L345+M345+N345</f>
        <v>840796</v>
      </c>
    </row>
    <row r="346" spans="1:15" ht="13.9" hidden="1" customHeight="1" x14ac:dyDescent="0.25">
      <c r="B346" s="306" t="s">
        <v>50</v>
      </c>
      <c r="C346" s="18">
        <f>SUM(C339:C345)</f>
        <v>2952484</v>
      </c>
      <c r="D346" s="20"/>
      <c r="E346" s="20"/>
      <c r="F346" s="20"/>
      <c r="G346" s="20"/>
      <c r="H346" s="20"/>
      <c r="I346" s="20"/>
      <c r="J346" s="20"/>
      <c r="K346" s="20"/>
      <c r="L346" s="8">
        <f>G338*L344</f>
        <v>444.97773654916512</v>
      </c>
      <c r="M346" s="8">
        <f>G338*M344</f>
        <v>3246.5454545454545</v>
      </c>
      <c r="N346" s="8">
        <f>G338*N344</f>
        <v>-217.1595547309833</v>
      </c>
      <c r="O346" s="8">
        <f>L346+M346+N346</f>
        <v>3474.363636363636</v>
      </c>
    </row>
    <row r="347" spans="1:15" ht="13.9" hidden="1" customHeight="1" x14ac:dyDescent="0.25">
      <c r="L347" s="8">
        <f>H338*L344</f>
        <v>99675.012987012989</v>
      </c>
      <c r="M347" s="8">
        <f>H338*M344</f>
        <v>727226.18181818177</v>
      </c>
      <c r="N347" s="8">
        <f>H338*N344</f>
        <v>-48643.740259740262</v>
      </c>
      <c r="O347" s="8">
        <f>L347+M347+N347</f>
        <v>778257.45454545447</v>
      </c>
    </row>
    <row r="348" spans="1:15" ht="13.9" hidden="1" customHeight="1" x14ac:dyDescent="0.25">
      <c r="L348" s="8">
        <f>I338*L344</f>
        <v>1334.9332096474955</v>
      </c>
      <c r="M348" s="8">
        <f>I338*M344</f>
        <v>9739.636363636364</v>
      </c>
      <c r="N348" s="8">
        <f>I338*N344</f>
        <v>-651.47866419294996</v>
      </c>
      <c r="O348" s="8">
        <f>L348+M348+N348</f>
        <v>10423.09090909091</v>
      </c>
    </row>
    <row r="349" spans="1:15" ht="13.9" hidden="1" customHeight="1" x14ac:dyDescent="0.25">
      <c r="L349" s="8">
        <f>J338*L344</f>
        <v>30703.463821892394</v>
      </c>
      <c r="M349" s="8">
        <f>J338*M344</f>
        <v>224011.63636363635</v>
      </c>
      <c r="N349" s="8">
        <f>J338*N344</f>
        <v>-14984.009276437848</v>
      </c>
      <c r="O349" s="8">
        <f>L349+M349+N349</f>
        <v>239731.09090909091</v>
      </c>
    </row>
    <row r="350" spans="1:15" ht="13.9" hidden="1" customHeight="1" x14ac:dyDescent="0.25"/>
    <row r="351" spans="1:15" ht="13.9" hidden="1" customHeight="1" x14ac:dyDescent="0.25">
      <c r="D351" s="17">
        <v>206</v>
      </c>
      <c r="E351" s="17"/>
      <c r="F351" s="17"/>
      <c r="G351" s="17">
        <v>5</v>
      </c>
      <c r="H351" s="17">
        <v>238</v>
      </c>
      <c r="I351" s="17">
        <v>1</v>
      </c>
      <c r="J351" s="17">
        <v>33</v>
      </c>
      <c r="K351" s="17">
        <f>D351+G351+H351+I351+J351</f>
        <v>483</v>
      </c>
      <c r="L351" s="1" t="s">
        <v>79</v>
      </c>
      <c r="M351" s="1" t="s">
        <v>80</v>
      </c>
      <c r="N351" s="1" t="s">
        <v>81</v>
      </c>
    </row>
    <row r="352" spans="1:15" ht="27.6" hidden="1" customHeight="1" x14ac:dyDescent="0.25">
      <c r="A352" s="1" t="s">
        <v>85</v>
      </c>
      <c r="B352" s="288" t="s">
        <v>43</v>
      </c>
      <c r="C352" s="18">
        <v>88052</v>
      </c>
      <c r="D352" s="19"/>
      <c r="E352" s="20"/>
      <c r="F352" s="20"/>
      <c r="G352" s="20"/>
      <c r="H352" s="20"/>
      <c r="I352" s="20"/>
      <c r="J352" s="20"/>
      <c r="K352" s="20"/>
      <c r="L352" s="8">
        <f>C352+C358</f>
        <v>388924</v>
      </c>
      <c r="M352" s="8">
        <f>C356+C357</f>
        <v>1185246</v>
      </c>
      <c r="N352" s="8">
        <f>C353+C355</f>
        <v>2227002</v>
      </c>
      <c r="O352" s="8">
        <f>L352+M352+N352</f>
        <v>3801172</v>
      </c>
    </row>
    <row r="353" spans="1:17" ht="13.9" hidden="1" customHeight="1" x14ac:dyDescent="0.25">
      <c r="B353" s="10" t="s">
        <v>53</v>
      </c>
      <c r="C353" s="18">
        <v>2026333</v>
      </c>
      <c r="D353" s="19"/>
      <c r="E353" s="20"/>
      <c r="F353" s="20"/>
      <c r="G353" s="20"/>
      <c r="H353" s="20"/>
      <c r="I353" s="20"/>
      <c r="J353" s="20"/>
      <c r="K353" s="20"/>
      <c r="L353" s="8">
        <f>L352/K351</f>
        <v>805.22567287784682</v>
      </c>
      <c r="M353" s="8">
        <f>M352/K351</f>
        <v>2453.9254658385094</v>
      </c>
      <c r="N353" s="8">
        <f>N352/K351</f>
        <v>4610.7701863354041</v>
      </c>
    </row>
    <row r="354" spans="1:17" ht="13.9" hidden="1" customHeight="1" x14ac:dyDescent="0.25">
      <c r="B354" s="10" t="s">
        <v>53</v>
      </c>
      <c r="C354" s="18">
        <v>0</v>
      </c>
      <c r="D354" s="19"/>
      <c r="E354" s="20"/>
      <c r="F354" s="20"/>
      <c r="G354" s="20"/>
      <c r="H354" s="20"/>
      <c r="I354" s="20"/>
      <c r="J354" s="20"/>
      <c r="K354" s="20"/>
    </row>
    <row r="355" spans="1:17" ht="13.9" hidden="1" customHeight="1" x14ac:dyDescent="0.25">
      <c r="B355" s="10" t="s">
        <v>55</v>
      </c>
      <c r="C355" s="18">
        <v>200669</v>
      </c>
      <c r="D355" s="19"/>
      <c r="E355" s="20"/>
      <c r="F355" s="20"/>
      <c r="G355" s="20"/>
      <c r="H355" s="20"/>
      <c r="I355" s="20"/>
      <c r="J355" s="20"/>
      <c r="K355" s="20"/>
      <c r="L355" s="8">
        <f>C352+515309</f>
        <v>603361</v>
      </c>
      <c r="M355" s="8">
        <f>C357+2499840</f>
        <v>2851806</v>
      </c>
      <c r="N355" s="8">
        <f>C353</f>
        <v>2026333</v>
      </c>
    </row>
    <row r="356" spans="1:17" ht="13.9" hidden="1" customHeight="1" x14ac:dyDescent="0.25">
      <c r="B356" s="10" t="s">
        <v>47</v>
      </c>
      <c r="C356" s="18">
        <v>833280</v>
      </c>
      <c r="D356" s="20"/>
      <c r="E356" s="20"/>
      <c r="F356" s="20"/>
      <c r="G356" s="20"/>
      <c r="H356" s="20"/>
      <c r="I356" s="20"/>
      <c r="J356" s="20"/>
      <c r="K356" s="20"/>
      <c r="L356" s="8">
        <f>L355-L352</f>
        <v>214437</v>
      </c>
      <c r="M356" s="8">
        <f>M355-M352</f>
        <v>1666560</v>
      </c>
      <c r="N356" s="8">
        <f>N355-N352</f>
        <v>-200669</v>
      </c>
    </row>
    <row r="357" spans="1:17" ht="13.9" hidden="1" customHeight="1" x14ac:dyDescent="0.25">
      <c r="B357" s="10" t="s">
        <v>48</v>
      </c>
      <c r="C357" s="18">
        <v>351966</v>
      </c>
      <c r="D357" s="20"/>
      <c r="E357" s="20"/>
      <c r="F357" s="20"/>
      <c r="G357" s="20"/>
      <c r="H357" s="20"/>
      <c r="I357" s="20"/>
      <c r="J357" s="20"/>
      <c r="K357" s="20"/>
      <c r="L357" s="8">
        <f>L356/K351</f>
        <v>443.96894409937886</v>
      </c>
      <c r="M357" s="8">
        <f>M356/K351</f>
        <v>3450.4347826086955</v>
      </c>
      <c r="N357" s="8">
        <f>N356/K351</f>
        <v>-415.463768115942</v>
      </c>
    </row>
    <row r="358" spans="1:17" ht="13.9" hidden="1" customHeight="1" x14ac:dyDescent="0.25">
      <c r="B358" s="10" t="s">
        <v>49</v>
      </c>
      <c r="C358" s="18">
        <v>300872</v>
      </c>
      <c r="D358" s="20"/>
      <c r="E358" s="20"/>
      <c r="F358" s="20"/>
      <c r="G358" s="20"/>
      <c r="H358" s="20"/>
      <c r="I358" s="20"/>
      <c r="J358" s="20"/>
      <c r="K358" s="20"/>
      <c r="L358" s="8">
        <f>D351*L357</f>
        <v>91457.602484472038</v>
      </c>
      <c r="M358" s="8">
        <f>M357*D351</f>
        <v>710789.56521739124</v>
      </c>
      <c r="N358" s="8">
        <f>D351*N357</f>
        <v>-85585.536231884049</v>
      </c>
      <c r="O358" s="8">
        <f>L358+M358+N358</f>
        <v>716661.63146997918</v>
      </c>
    </row>
    <row r="359" spans="1:17" ht="13.9" hidden="1" customHeight="1" x14ac:dyDescent="0.25">
      <c r="B359" s="306" t="s">
        <v>50</v>
      </c>
      <c r="C359" s="18">
        <f>SUM(C352:C358)</f>
        <v>3801172</v>
      </c>
      <c r="D359" s="20"/>
      <c r="E359" s="20"/>
      <c r="F359" s="20"/>
      <c r="G359" s="20"/>
      <c r="H359" s="20"/>
      <c r="I359" s="20"/>
      <c r="J359" s="20"/>
      <c r="K359" s="20"/>
      <c r="L359" s="8">
        <f>G351*L357</f>
        <v>2219.8447204968943</v>
      </c>
      <c r="M359" s="8">
        <f>G351*M357</f>
        <v>17252.173913043476</v>
      </c>
      <c r="N359" s="8">
        <f>G351*N357</f>
        <v>-2077.31884057971</v>
      </c>
      <c r="O359" s="8">
        <f>L359+M359+N359</f>
        <v>17394.699792960659</v>
      </c>
    </row>
    <row r="360" spans="1:17" ht="13.9" hidden="1" customHeight="1" x14ac:dyDescent="0.25">
      <c r="L360" s="8">
        <f>H351*L357</f>
        <v>105664.60869565216</v>
      </c>
      <c r="M360" s="8">
        <f>H351*M357</f>
        <v>821203.47826086951</v>
      </c>
      <c r="N360" s="8">
        <f>H351*N357</f>
        <v>-98880.376811594193</v>
      </c>
      <c r="O360" s="8">
        <f>L360+M360+N360</f>
        <v>827987.71014492749</v>
      </c>
    </row>
    <row r="361" spans="1:17" ht="13.9" hidden="1" customHeight="1" x14ac:dyDescent="0.25">
      <c r="L361" s="8">
        <f>I351*L357</f>
        <v>443.96894409937886</v>
      </c>
      <c r="M361" s="8">
        <f>I351*M357</f>
        <v>3450.4347826086955</v>
      </c>
      <c r="N361" s="8">
        <f>I351*N357</f>
        <v>-415.463768115942</v>
      </c>
      <c r="O361" s="8">
        <f>L361+M361+N361</f>
        <v>3478.9399585921324</v>
      </c>
    </row>
    <row r="362" spans="1:17" ht="13.9" hidden="1" customHeight="1" x14ac:dyDescent="0.25">
      <c r="L362" s="8">
        <f>J351*L357</f>
        <v>14650.975155279502</v>
      </c>
      <c r="M362" s="8">
        <f>J351*M357</f>
        <v>113864.34782608695</v>
      </c>
      <c r="N362" s="8">
        <f>J351*N357</f>
        <v>-13710.304347826086</v>
      </c>
      <c r="O362" s="8">
        <f>L362+M362+N362</f>
        <v>114805.01863354037</v>
      </c>
    </row>
    <row r="363" spans="1:17" ht="13.9" hidden="1" customHeight="1" x14ac:dyDescent="0.25">
      <c r="N363" s="1" t="s">
        <v>79</v>
      </c>
      <c r="O363" s="1" t="s">
        <v>80</v>
      </c>
      <c r="P363" s="1" t="s">
        <v>81</v>
      </c>
    </row>
    <row r="364" spans="1:17" ht="13.9" hidden="1" customHeight="1" x14ac:dyDescent="0.25">
      <c r="D364" s="17">
        <v>316</v>
      </c>
      <c r="E364" s="17"/>
      <c r="F364" s="17"/>
      <c r="G364" s="17">
        <v>2</v>
      </c>
      <c r="H364" s="17">
        <v>196</v>
      </c>
      <c r="I364" s="17">
        <v>206</v>
      </c>
      <c r="J364" s="17">
        <v>1</v>
      </c>
      <c r="K364" s="17">
        <v>51</v>
      </c>
      <c r="L364" s="17">
        <v>53</v>
      </c>
      <c r="M364" s="17">
        <f>D364+G364+H364+I364+J364+K364+L364</f>
        <v>825</v>
      </c>
    </row>
    <row r="365" spans="1:17" ht="27.6" hidden="1" customHeight="1" x14ac:dyDescent="0.25">
      <c r="A365" s="1" t="s">
        <v>86</v>
      </c>
      <c r="B365" s="288" t="s">
        <v>43</v>
      </c>
      <c r="C365" s="311">
        <v>150399</v>
      </c>
      <c r="D365" s="19"/>
      <c r="E365" s="20"/>
      <c r="F365" s="20"/>
      <c r="G365" s="20"/>
      <c r="H365" s="20"/>
      <c r="I365" s="20"/>
      <c r="J365" s="20"/>
      <c r="K365" s="17"/>
      <c r="L365" s="17"/>
      <c r="M365" s="17"/>
      <c r="N365" s="8">
        <f>C365+C371</f>
        <v>662764</v>
      </c>
      <c r="O365" s="8">
        <f>C369+C370</f>
        <v>1800175</v>
      </c>
      <c r="P365" s="8">
        <f>C366+C368</f>
        <v>182500</v>
      </c>
      <c r="Q365" s="8">
        <f>N365+O365+P365</f>
        <v>2645439</v>
      </c>
    </row>
    <row r="366" spans="1:17" ht="13.9" hidden="1" customHeight="1" x14ac:dyDescent="0.25">
      <c r="B366" s="10" t="s">
        <v>53</v>
      </c>
      <c r="C366" s="311">
        <v>179700</v>
      </c>
      <c r="D366" s="19"/>
      <c r="E366" s="20"/>
      <c r="F366" s="20"/>
      <c r="G366" s="20"/>
      <c r="H366" s="20"/>
      <c r="I366" s="20"/>
      <c r="J366" s="20"/>
      <c r="K366" s="17"/>
      <c r="L366" s="17"/>
      <c r="M366" s="17"/>
      <c r="N366" s="8">
        <f>N365/M364</f>
        <v>803.35030303030305</v>
      </c>
      <c r="O366" s="8">
        <f>O365/M364</f>
        <v>2182.030303030303</v>
      </c>
      <c r="P366" s="8">
        <f>P365/M364</f>
        <v>221.21212121212122</v>
      </c>
    </row>
    <row r="367" spans="1:17" ht="13.9" hidden="1" customHeight="1" x14ac:dyDescent="0.25">
      <c r="B367" s="10" t="s">
        <v>53</v>
      </c>
      <c r="C367" s="311">
        <v>0</v>
      </c>
      <c r="D367" s="19"/>
      <c r="E367" s="20"/>
      <c r="F367" s="20"/>
      <c r="G367" s="20"/>
      <c r="H367" s="20"/>
      <c r="I367" s="20"/>
      <c r="J367" s="20"/>
      <c r="K367" s="17"/>
      <c r="L367" s="17"/>
      <c r="M367" s="17"/>
    </row>
    <row r="368" spans="1:17" ht="13.9" hidden="1" customHeight="1" x14ac:dyDescent="0.25">
      <c r="B368" s="10" t="s">
        <v>55</v>
      </c>
      <c r="C368" s="311">
        <v>2800</v>
      </c>
      <c r="D368" s="19"/>
      <c r="E368" s="20"/>
      <c r="F368" s="20"/>
      <c r="G368" s="20"/>
      <c r="H368" s="20"/>
      <c r="I368" s="20"/>
      <c r="J368" s="20"/>
      <c r="K368" s="17"/>
      <c r="L368" s="17"/>
      <c r="M368" s="17"/>
      <c r="N368" s="8">
        <f>C365+880187</f>
        <v>1030586</v>
      </c>
      <c r="O368" s="8">
        <f>C370+3874752</f>
        <v>4383343</v>
      </c>
      <c r="P368" s="8">
        <f>C366</f>
        <v>179700</v>
      </c>
    </row>
    <row r="369" spans="1:17" ht="13.9" hidden="1" customHeight="1" x14ac:dyDescent="0.25">
      <c r="B369" s="10" t="s">
        <v>47</v>
      </c>
      <c r="C369" s="311">
        <v>1291584</v>
      </c>
      <c r="D369" s="20"/>
      <c r="E369" s="20"/>
      <c r="F369" s="20"/>
      <c r="G369" s="20"/>
      <c r="H369" s="20"/>
      <c r="I369" s="20"/>
      <c r="J369" s="20"/>
      <c r="K369" s="17"/>
      <c r="L369" s="17"/>
      <c r="M369" s="17"/>
      <c r="N369" s="8">
        <f>N368-N365</f>
        <v>367822</v>
      </c>
      <c r="O369" s="8">
        <f>O368-O365</f>
        <v>2583168</v>
      </c>
      <c r="P369" s="8">
        <f>P368-P365</f>
        <v>-2800</v>
      </c>
    </row>
    <row r="370" spans="1:17" ht="13.9" hidden="1" customHeight="1" x14ac:dyDescent="0.25">
      <c r="B370" s="10" t="s">
        <v>48</v>
      </c>
      <c r="C370" s="311">
        <v>508591</v>
      </c>
      <c r="D370" s="20"/>
      <c r="E370" s="20"/>
      <c r="F370" s="20"/>
      <c r="G370" s="20"/>
      <c r="H370" s="20"/>
      <c r="I370" s="20"/>
      <c r="J370" s="20"/>
      <c r="K370" s="17"/>
      <c r="L370" s="17"/>
      <c r="M370" s="17"/>
      <c r="N370" s="8">
        <f>N369/M364</f>
        <v>445.84484848484851</v>
      </c>
      <c r="O370" s="8">
        <f>O369/M364</f>
        <v>3131.1127272727272</v>
      </c>
      <c r="P370" s="8">
        <f>P369/M364</f>
        <v>-3.393939393939394</v>
      </c>
    </row>
    <row r="371" spans="1:17" ht="13.9" hidden="1" customHeight="1" x14ac:dyDescent="0.25">
      <c r="B371" s="10" t="s">
        <v>49</v>
      </c>
      <c r="C371" s="311">
        <v>512365</v>
      </c>
      <c r="D371" s="20"/>
      <c r="E371" s="20"/>
      <c r="F371" s="20"/>
      <c r="G371" s="20"/>
      <c r="H371" s="20"/>
      <c r="I371" s="20"/>
      <c r="J371" s="20"/>
      <c r="K371" s="17"/>
      <c r="L371" s="17"/>
      <c r="M371" s="17"/>
      <c r="N371" s="8">
        <f>D364*N370</f>
        <v>140886.97212121214</v>
      </c>
      <c r="O371" s="8">
        <f>D364*O370</f>
        <v>989431.62181818183</v>
      </c>
      <c r="P371" s="8">
        <f>D364*P370</f>
        <v>-1072.4848484848485</v>
      </c>
      <c r="Q371" s="8">
        <f>N371+O371+P371</f>
        <v>1129246.1090909091</v>
      </c>
    </row>
    <row r="372" spans="1:17" ht="13.9" hidden="1" customHeight="1" x14ac:dyDescent="0.25">
      <c r="B372" s="306" t="s">
        <v>50</v>
      </c>
      <c r="C372" s="18">
        <f>SUM(C365:C371)</f>
        <v>2645439</v>
      </c>
      <c r="D372" s="20"/>
      <c r="E372" s="20"/>
      <c r="F372" s="20"/>
      <c r="G372" s="20"/>
      <c r="H372" s="20"/>
      <c r="I372" s="20"/>
      <c r="J372" s="20"/>
      <c r="K372" s="17"/>
      <c r="L372" s="17"/>
      <c r="M372" s="17"/>
      <c r="N372" s="8">
        <f>G364*N370</f>
        <v>891.68969696969702</v>
      </c>
      <c r="O372" s="8">
        <f>G364*O370</f>
        <v>6262.2254545454543</v>
      </c>
      <c r="P372" s="8">
        <f>G364*P370</f>
        <v>-6.7878787878787881</v>
      </c>
      <c r="Q372" s="8">
        <f t="shared" ref="Q372:Q377" si="89">N372+O372+P372</f>
        <v>7147.1272727272726</v>
      </c>
    </row>
    <row r="373" spans="1:17" ht="13.9" hidden="1" customHeight="1" x14ac:dyDescent="0.25">
      <c r="N373" s="8">
        <f>H364*N370</f>
        <v>87385.590303030302</v>
      </c>
      <c r="O373" s="8">
        <f>H364*O370</f>
        <v>613698.09454545449</v>
      </c>
      <c r="P373" s="8">
        <f>H364*P370</f>
        <v>-665.21212121212125</v>
      </c>
      <c r="Q373" s="8">
        <f t="shared" si="89"/>
        <v>700418.47272727266</v>
      </c>
    </row>
    <row r="374" spans="1:17" ht="13.9" hidden="1" customHeight="1" x14ac:dyDescent="0.25">
      <c r="N374" s="8">
        <f>I364*N370</f>
        <v>91844.038787878788</v>
      </c>
      <c r="O374" s="8">
        <f>I364*O370</f>
        <v>645009.2218181818</v>
      </c>
      <c r="P374" s="8">
        <f>I364*P370</f>
        <v>-699.15151515151513</v>
      </c>
      <c r="Q374" s="8">
        <f t="shared" si="89"/>
        <v>736154.10909090913</v>
      </c>
    </row>
    <row r="375" spans="1:17" ht="13.9" hidden="1" customHeight="1" x14ac:dyDescent="0.25">
      <c r="N375" s="8">
        <f>J364*N370</f>
        <v>445.84484848484851</v>
      </c>
      <c r="O375" s="8">
        <f>J364*O370</f>
        <v>3131.1127272727272</v>
      </c>
      <c r="P375" s="8">
        <f>J364*P370</f>
        <v>-3.393939393939394</v>
      </c>
      <c r="Q375" s="8">
        <f t="shared" si="89"/>
        <v>3573.5636363636363</v>
      </c>
    </row>
    <row r="376" spans="1:17" ht="13.9" hidden="1" customHeight="1" x14ac:dyDescent="0.25">
      <c r="N376" s="8">
        <f>K364*N370</f>
        <v>22738.087272727273</v>
      </c>
      <c r="O376" s="8">
        <f>K364*O370</f>
        <v>159686.74909090908</v>
      </c>
      <c r="P376" s="8">
        <f>K364*P370</f>
        <v>-173.09090909090909</v>
      </c>
      <c r="Q376" s="8">
        <f t="shared" si="89"/>
        <v>182251.74545454545</v>
      </c>
    </row>
    <row r="377" spans="1:17" ht="13.9" hidden="1" customHeight="1" x14ac:dyDescent="0.25">
      <c r="N377" s="8">
        <f>L364*N370</f>
        <v>23629.77696969697</v>
      </c>
      <c r="O377" s="8">
        <f>L364*O370</f>
        <v>165948.97454545455</v>
      </c>
      <c r="P377" s="8">
        <f>L364*P370</f>
        <v>-179.87878787878788</v>
      </c>
      <c r="Q377" s="8">
        <f t="shared" si="89"/>
        <v>189398.87272727274</v>
      </c>
    </row>
    <row r="378" spans="1:17" ht="13.9" hidden="1" customHeight="1" x14ac:dyDescent="0.25">
      <c r="M378" s="1" t="s">
        <v>79</v>
      </c>
      <c r="N378" s="1" t="s">
        <v>80</v>
      </c>
      <c r="O378" s="1" t="s">
        <v>81</v>
      </c>
    </row>
    <row r="379" spans="1:17" ht="13.9" hidden="1" customHeight="1" x14ac:dyDescent="0.25">
      <c r="D379" s="17">
        <v>67</v>
      </c>
      <c r="E379" s="17"/>
      <c r="F379" s="17"/>
      <c r="G379" s="17">
        <v>17</v>
      </c>
      <c r="H379" s="17">
        <v>1</v>
      </c>
      <c r="I379" s="17">
        <v>72</v>
      </c>
      <c r="J379" s="17">
        <v>44</v>
      </c>
      <c r="K379" s="17">
        <v>17</v>
      </c>
      <c r="L379" s="17">
        <f>D379+G379+H379+I379+J379+K379</f>
        <v>218</v>
      </c>
    </row>
    <row r="380" spans="1:17" ht="27.6" hidden="1" customHeight="1" x14ac:dyDescent="0.25">
      <c r="A380" s="1" t="s">
        <v>87</v>
      </c>
      <c r="B380" s="288" t="s">
        <v>43</v>
      </c>
      <c r="C380" s="18">
        <v>39742</v>
      </c>
      <c r="D380" s="19"/>
      <c r="E380" s="20"/>
      <c r="F380" s="20"/>
      <c r="G380" s="20"/>
      <c r="H380" s="20"/>
      <c r="I380" s="20"/>
      <c r="J380" s="20"/>
      <c r="K380" s="20"/>
      <c r="L380" s="20"/>
      <c r="M380" s="8">
        <f>C380+C382+C386</f>
        <v>195953</v>
      </c>
      <c r="N380" s="8">
        <f>C384+C385</f>
        <v>542463</v>
      </c>
      <c r="O380" s="8">
        <f>C381+C383</f>
        <v>2064267</v>
      </c>
      <c r="P380" s="8">
        <f>M380+N380+O380</f>
        <v>2802683</v>
      </c>
    </row>
    <row r="381" spans="1:17" ht="13.9" hidden="1" customHeight="1" x14ac:dyDescent="0.25">
      <c r="B381" s="10" t="s">
        <v>53</v>
      </c>
      <c r="C381" s="18">
        <v>1880332</v>
      </c>
      <c r="D381" s="19"/>
      <c r="E381" s="20"/>
      <c r="F381" s="20"/>
      <c r="G381" s="20"/>
      <c r="H381" s="20"/>
      <c r="I381" s="20"/>
      <c r="J381" s="20"/>
      <c r="K381" s="20"/>
      <c r="L381" s="17"/>
      <c r="M381" s="8">
        <f>M380/L379</f>
        <v>898.86697247706422</v>
      </c>
      <c r="N381" s="8">
        <f>N380/L379</f>
        <v>2488.3623853211011</v>
      </c>
      <c r="O381" s="8">
        <f>O380/L379</f>
        <v>9469.1146788990827</v>
      </c>
    </row>
    <row r="382" spans="1:17" ht="13.9" hidden="1" customHeight="1" x14ac:dyDescent="0.25">
      <c r="B382" s="10" t="s">
        <v>53</v>
      </c>
      <c r="C382" s="18">
        <v>21109</v>
      </c>
      <c r="D382" s="19"/>
      <c r="E382" s="20"/>
      <c r="F382" s="20"/>
      <c r="G382" s="20"/>
      <c r="H382" s="20"/>
      <c r="I382" s="20"/>
      <c r="J382" s="20"/>
      <c r="K382" s="20"/>
      <c r="L382" s="17"/>
    </row>
    <row r="383" spans="1:17" ht="13.9" hidden="1" customHeight="1" x14ac:dyDescent="0.25">
      <c r="B383" s="10" t="s">
        <v>55</v>
      </c>
      <c r="C383" s="18">
        <v>183935</v>
      </c>
      <c r="D383" s="19"/>
      <c r="E383" s="20"/>
      <c r="F383" s="20"/>
      <c r="G383" s="20"/>
      <c r="H383" s="20"/>
      <c r="I383" s="20"/>
      <c r="J383" s="20"/>
      <c r="K383" s="20"/>
      <c r="L383" s="17"/>
      <c r="M383" s="8">
        <f>C380+232583</f>
        <v>272325</v>
      </c>
      <c r="N383" s="8">
        <f>C385+1499904</f>
        <v>1542399</v>
      </c>
      <c r="O383" s="8">
        <f>C381</f>
        <v>1880332</v>
      </c>
    </row>
    <row r="384" spans="1:17" ht="13.9" hidden="1" customHeight="1" x14ac:dyDescent="0.25">
      <c r="B384" s="10" t="s">
        <v>47</v>
      </c>
      <c r="C384" s="18">
        <v>499968</v>
      </c>
      <c r="D384" s="20"/>
      <c r="E384" s="20"/>
      <c r="F384" s="20"/>
      <c r="G384" s="20"/>
      <c r="H384" s="20"/>
      <c r="I384" s="20"/>
      <c r="J384" s="20"/>
      <c r="K384" s="20"/>
      <c r="L384" s="17"/>
      <c r="M384" s="8">
        <f>M383-M380</f>
        <v>76372</v>
      </c>
      <c r="N384" s="8">
        <f>N383-N380</f>
        <v>999936</v>
      </c>
      <c r="O384" s="8">
        <f>O383-O380</f>
        <v>-183935</v>
      </c>
    </row>
    <row r="385" spans="2:16" ht="13.9" hidden="1" customHeight="1" x14ac:dyDescent="0.25">
      <c r="B385" s="10" t="s">
        <v>48</v>
      </c>
      <c r="C385" s="18">
        <v>42495</v>
      </c>
      <c r="D385" s="20"/>
      <c r="E385" s="20"/>
      <c r="F385" s="20"/>
      <c r="G385" s="20"/>
      <c r="H385" s="20"/>
      <c r="I385" s="20"/>
      <c r="J385" s="20"/>
      <c r="K385" s="20"/>
      <c r="L385" s="17"/>
      <c r="M385" s="8">
        <f>M384/L379</f>
        <v>350.33027522935782</v>
      </c>
      <c r="N385" s="8">
        <f>N384/L379</f>
        <v>4586.8623853211011</v>
      </c>
      <c r="O385" s="8">
        <f>O384/L379</f>
        <v>-843.7385321100918</v>
      </c>
    </row>
    <row r="386" spans="2:16" ht="13.9" hidden="1" customHeight="1" x14ac:dyDescent="0.25">
      <c r="B386" s="10" t="s">
        <v>49</v>
      </c>
      <c r="C386" s="18">
        <v>135102</v>
      </c>
      <c r="D386" s="20"/>
      <c r="E386" s="20"/>
      <c r="F386" s="20"/>
      <c r="G386" s="20"/>
      <c r="H386" s="20"/>
      <c r="I386" s="20"/>
      <c r="J386" s="20"/>
      <c r="K386" s="20"/>
      <c r="L386" s="17"/>
      <c r="M386" s="8">
        <f>D379*M385</f>
        <v>23472.128440366974</v>
      </c>
      <c r="N386" s="8">
        <f>D379*N385</f>
        <v>307319.77981651376</v>
      </c>
      <c r="O386" s="8">
        <f>D379*O385</f>
        <v>-56530.481651376147</v>
      </c>
      <c r="P386" s="8">
        <f t="shared" ref="P386:P391" si="90">M386+N386+O386</f>
        <v>274261.42660550459</v>
      </c>
    </row>
    <row r="387" spans="2:16" ht="13.9" hidden="1" customHeight="1" x14ac:dyDescent="0.25">
      <c r="B387" s="306" t="s">
        <v>50</v>
      </c>
      <c r="C387" s="18">
        <f>SUM(C380:C386)</f>
        <v>2802683</v>
      </c>
      <c r="D387" s="20"/>
      <c r="E387" s="20"/>
      <c r="F387" s="20"/>
      <c r="G387" s="20"/>
      <c r="H387" s="20"/>
      <c r="I387" s="20"/>
      <c r="J387" s="20"/>
      <c r="K387" s="20"/>
      <c r="L387" s="17"/>
      <c r="M387" s="8">
        <f>G379*M385</f>
        <v>5955.6146788990827</v>
      </c>
      <c r="N387" s="8">
        <f>G379*N385</f>
        <v>77976.660550458721</v>
      </c>
      <c r="O387" s="8">
        <f>G379*O385</f>
        <v>-14343.555045871561</v>
      </c>
      <c r="P387" s="8">
        <f t="shared" si="90"/>
        <v>69588.72018348625</v>
      </c>
    </row>
    <row r="388" spans="2:16" ht="13.9" hidden="1" customHeight="1" x14ac:dyDescent="0.25">
      <c r="M388" s="8">
        <f>H379*M385</f>
        <v>350.33027522935782</v>
      </c>
      <c r="N388" s="8">
        <f>H379*N385</f>
        <v>4586.8623853211011</v>
      </c>
      <c r="O388" s="8">
        <f>H379*O385</f>
        <v>-843.7385321100918</v>
      </c>
      <c r="P388" s="8">
        <f t="shared" si="90"/>
        <v>4093.4541284403667</v>
      </c>
    </row>
    <row r="389" spans="2:16" ht="13.9" hidden="1" customHeight="1" x14ac:dyDescent="0.25">
      <c r="M389" s="8">
        <f>I379*M385</f>
        <v>25223.779816513765</v>
      </c>
      <c r="N389" s="8">
        <f>I379*N385</f>
        <v>330254.09174311929</v>
      </c>
      <c r="O389" s="8">
        <f>I379*O385</f>
        <v>-60749.17431192661</v>
      </c>
      <c r="P389" s="8">
        <f t="shared" si="90"/>
        <v>294728.69724770647</v>
      </c>
    </row>
    <row r="390" spans="2:16" ht="13.9" hidden="1" customHeight="1" x14ac:dyDescent="0.25">
      <c r="M390" s="8">
        <f>J379*M385</f>
        <v>15414.532110091744</v>
      </c>
      <c r="N390" s="8">
        <f>J379*N385</f>
        <v>201821.94495412844</v>
      </c>
      <c r="O390" s="8">
        <f>J379*O385</f>
        <v>-37124.495412844037</v>
      </c>
      <c r="P390" s="8">
        <f t="shared" si="90"/>
        <v>180111.98165137615</v>
      </c>
    </row>
    <row r="391" spans="2:16" ht="13.9" hidden="1" customHeight="1" x14ac:dyDescent="0.25">
      <c r="M391" s="8">
        <f>K379*M385</f>
        <v>5955.6146788990827</v>
      </c>
      <c r="N391" s="8">
        <f>K379*N385</f>
        <v>77976.660550458721</v>
      </c>
      <c r="O391" s="8">
        <f>K379*O385</f>
        <v>-14343.555045871561</v>
      </c>
      <c r="P391" s="8">
        <f t="shared" si="90"/>
        <v>69588.72018348625</v>
      </c>
    </row>
    <row r="392" spans="2:16" ht="13.9" hidden="1" customHeight="1" x14ac:dyDescent="0.25"/>
    <row r="393" spans="2:16" ht="13.9" hidden="1" customHeight="1" x14ac:dyDescent="0.25"/>
    <row r="394" spans="2:16" ht="13.9" hidden="1" customHeight="1" x14ac:dyDescent="0.25"/>
    <row r="395" spans="2:16" ht="13.9" hidden="1" customHeight="1" x14ac:dyDescent="0.25"/>
  </sheetData>
  <mergeCells count="44">
    <mergeCell ref="B259:M259"/>
    <mergeCell ref="A173:A217"/>
    <mergeCell ref="B173:B185"/>
    <mergeCell ref="B186:B197"/>
    <mergeCell ref="B198:B205"/>
    <mergeCell ref="A218:A258"/>
    <mergeCell ref="B218:B229"/>
    <mergeCell ref="B230:B232"/>
    <mergeCell ref="C247:C248"/>
    <mergeCell ref="B247:B248"/>
    <mergeCell ref="B206:B208"/>
    <mergeCell ref="C206:C207"/>
    <mergeCell ref="A91:A130"/>
    <mergeCell ref="B91:B101"/>
    <mergeCell ref="B102:B109"/>
    <mergeCell ref="B112:B117"/>
    <mergeCell ref="A131:A172"/>
    <mergeCell ref="B131:B143"/>
    <mergeCell ref="B144:B152"/>
    <mergeCell ref="B155:B158"/>
    <mergeCell ref="A49:A90"/>
    <mergeCell ref="B49:B61"/>
    <mergeCell ref="B62:B71"/>
    <mergeCell ref="B74:B77"/>
    <mergeCell ref="B38:B39"/>
    <mergeCell ref="C38:C39"/>
    <mergeCell ref="A4:U4"/>
    <mergeCell ref="A5:C5"/>
    <mergeCell ref="A6:A7"/>
    <mergeCell ref="B6:B7"/>
    <mergeCell ref="D6:D7"/>
    <mergeCell ref="E6:I6"/>
    <mergeCell ref="J6:M6"/>
    <mergeCell ref="N6:U6"/>
    <mergeCell ref="A9:A48"/>
    <mergeCell ref="B9:B21"/>
    <mergeCell ref="B22:B28"/>
    <mergeCell ref="B31:B35"/>
    <mergeCell ref="C80:C81"/>
    <mergeCell ref="B80:B81"/>
    <mergeCell ref="B120:B121"/>
    <mergeCell ref="C120:C121"/>
    <mergeCell ref="C161:C162"/>
    <mergeCell ref="B161:B162"/>
  </mergeCells>
  <pageMargins left="0" right="0" top="0.19685039370078741" bottom="0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O22"/>
  <sheetViews>
    <sheetView zoomScale="80" zoomScaleNormal="80" workbookViewId="0">
      <selection activeCell="K12" sqref="K12"/>
    </sheetView>
  </sheetViews>
  <sheetFormatPr defaultColWidth="8.85546875" defaultRowHeight="15" x14ac:dyDescent="0.25"/>
  <cols>
    <col min="1" max="1" width="25" style="183" customWidth="1"/>
    <col min="2" max="2" width="15.140625" style="183" customWidth="1"/>
    <col min="3" max="3" width="15.28515625" style="183" customWidth="1"/>
    <col min="4" max="4" width="15.5703125" style="183" customWidth="1"/>
    <col min="5" max="5" width="15.7109375" style="183" customWidth="1"/>
    <col min="6" max="6" width="11.7109375" style="183" hidden="1" customWidth="1"/>
    <col min="7" max="7" width="16.28515625" style="183" customWidth="1"/>
    <col min="8" max="10" width="14.85546875" style="183" customWidth="1"/>
    <col min="11" max="12" width="15.7109375" style="183" customWidth="1"/>
    <col min="13" max="13" width="16.28515625" style="183" customWidth="1"/>
    <col min="14" max="14" width="8.7109375" style="183" hidden="1" customWidth="1"/>
    <col min="15" max="15" width="8" style="183" customWidth="1"/>
    <col min="16" max="16" width="8.7109375" style="183" customWidth="1"/>
    <col min="17" max="17" width="9.7109375" style="183" customWidth="1"/>
    <col min="18" max="19" width="8.28515625" style="183" customWidth="1"/>
    <col min="20" max="20" width="15.85546875" style="183" customWidth="1"/>
    <col min="21" max="21" width="14.140625" style="183" customWidth="1"/>
    <col min="22" max="22" width="15.85546875" style="183" customWidth="1"/>
    <col min="23" max="23" width="14.7109375" style="183" customWidth="1"/>
    <col min="24" max="24" width="15.140625" style="183" customWidth="1"/>
    <col min="25" max="25" width="16.140625" style="183" customWidth="1"/>
    <col min="26" max="26" width="16" style="183" customWidth="1"/>
    <col min="27" max="27" width="14.85546875" style="183" customWidth="1"/>
    <col min="28" max="28" width="14.7109375" style="183" customWidth="1"/>
    <col min="29" max="29" width="15.28515625" style="183" customWidth="1"/>
    <col min="30" max="30" width="17" style="183" customWidth="1"/>
    <col min="31" max="31" width="16.28515625" style="183" customWidth="1"/>
    <col min="32" max="32" width="15.7109375" style="183" hidden="1" customWidth="1"/>
    <col min="33" max="33" width="15.5703125" style="183" hidden="1" customWidth="1"/>
    <col min="34" max="34" width="15.5703125" style="183" customWidth="1"/>
    <col min="35" max="35" width="19.28515625" style="183" hidden="1" customWidth="1"/>
    <col min="36" max="36" width="16.85546875" style="183" hidden="1" customWidth="1"/>
    <col min="37" max="37" width="12.28515625" style="183" hidden="1" customWidth="1"/>
    <col min="38" max="38" width="15.42578125" style="183" hidden="1" customWidth="1"/>
    <col min="39" max="39" width="11.28515625" style="183" customWidth="1"/>
    <col min="40" max="40" width="3.7109375" style="183" customWidth="1"/>
    <col min="41" max="41" width="15.7109375" style="183" hidden="1" customWidth="1"/>
    <col min="42" max="16384" width="8.85546875" style="183"/>
  </cols>
  <sheetData>
    <row r="2" spans="1:41" ht="13.9" customHeight="1" x14ac:dyDescent="0.25">
      <c r="X2" s="407" t="s">
        <v>88</v>
      </c>
      <c r="Y2" s="407"/>
      <c r="Z2" s="408"/>
      <c r="AA2" s="408"/>
      <c r="AB2" s="408"/>
      <c r="AC2" s="408"/>
      <c r="AD2" s="409"/>
      <c r="AE2" s="409"/>
      <c r="AF2" s="409"/>
    </row>
    <row r="3" spans="1:41" ht="14.45" customHeight="1" x14ac:dyDescent="0.25">
      <c r="X3" s="410" t="s">
        <v>602</v>
      </c>
      <c r="Y3" s="410"/>
      <c r="Z3" s="411"/>
      <c r="AA3" s="411"/>
      <c r="AB3" s="411"/>
      <c r="AC3" s="411"/>
      <c r="AD3" s="412"/>
      <c r="AE3" s="412"/>
    </row>
    <row r="4" spans="1:41" x14ac:dyDescent="0.25">
      <c r="AH4" s="413"/>
    </row>
    <row r="5" spans="1:41" ht="18" customHeight="1" x14ac:dyDescent="0.3">
      <c r="A5" s="414" t="s">
        <v>541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5"/>
      <c r="N5" s="415"/>
      <c r="O5" s="415"/>
      <c r="P5" s="415"/>
      <c r="Q5" s="415"/>
      <c r="R5" s="415"/>
      <c r="S5" s="415"/>
      <c r="T5" s="416"/>
      <c r="U5" s="416"/>
      <c r="V5" s="416"/>
      <c r="W5" s="416"/>
      <c r="X5" s="417"/>
    </row>
    <row r="6" spans="1:41" ht="15.75" x14ac:dyDescent="0.25">
      <c r="A6" s="418" t="s">
        <v>89</v>
      </c>
      <c r="B6" s="419"/>
      <c r="V6" s="417"/>
      <c r="W6" s="417"/>
    </row>
    <row r="7" spans="1:41" ht="83.45" customHeight="1" x14ac:dyDescent="0.25">
      <c r="A7" s="420" t="s">
        <v>2</v>
      </c>
      <c r="B7" s="396" t="s">
        <v>542</v>
      </c>
      <c r="C7" s="397"/>
      <c r="D7" s="397"/>
      <c r="E7" s="397"/>
      <c r="F7" s="398"/>
      <c r="G7" s="399" t="s">
        <v>90</v>
      </c>
      <c r="H7" s="240" t="s">
        <v>91</v>
      </c>
      <c r="I7" s="241"/>
      <c r="J7" s="241"/>
      <c r="K7" s="241"/>
      <c r="L7" s="242"/>
      <c r="M7" s="279"/>
      <c r="N7" s="400"/>
      <c r="O7" s="243" t="s">
        <v>545</v>
      </c>
      <c r="P7" s="244"/>
      <c r="Q7" s="244"/>
      <c r="R7" s="245"/>
      <c r="S7" s="219"/>
      <c r="T7" s="240" t="s">
        <v>324</v>
      </c>
      <c r="U7" s="241"/>
      <c r="V7" s="241"/>
      <c r="W7" s="241"/>
      <c r="X7" s="241"/>
      <c r="Y7" s="242"/>
      <c r="Z7" s="240" t="s">
        <v>279</v>
      </c>
      <c r="AA7" s="241"/>
      <c r="AB7" s="241"/>
      <c r="AC7" s="242"/>
      <c r="AD7" s="29" t="s">
        <v>324</v>
      </c>
      <c r="AE7" s="29" t="s">
        <v>423</v>
      </c>
      <c r="AF7" s="220" t="s">
        <v>92</v>
      </c>
      <c r="AG7" s="221"/>
      <c r="AH7" s="29" t="s">
        <v>543</v>
      </c>
      <c r="AI7" s="421" t="s">
        <v>2</v>
      </c>
      <c r="AJ7" s="422" t="s">
        <v>558</v>
      </c>
      <c r="AK7" s="423"/>
      <c r="AL7" s="423"/>
    </row>
    <row r="8" spans="1:41" ht="153" customHeight="1" x14ac:dyDescent="0.25">
      <c r="A8" s="424"/>
      <c r="B8" s="401" t="s">
        <v>647</v>
      </c>
      <c r="C8" s="401" t="s">
        <v>648</v>
      </c>
      <c r="D8" s="401" t="s">
        <v>649</v>
      </c>
      <c r="E8" s="27" t="s">
        <v>93</v>
      </c>
      <c r="F8" s="27" t="s">
        <v>94</v>
      </c>
      <c r="G8" s="402"/>
      <c r="H8" s="29" t="s">
        <v>95</v>
      </c>
      <c r="I8" s="29" t="s">
        <v>96</v>
      </c>
      <c r="J8" s="29" t="s">
        <v>97</v>
      </c>
      <c r="K8" s="29" t="s">
        <v>16</v>
      </c>
      <c r="L8" s="28" t="s">
        <v>94</v>
      </c>
      <c r="M8" s="403" t="s">
        <v>9</v>
      </c>
      <c r="N8" s="30" t="s">
        <v>98</v>
      </c>
      <c r="O8" s="29" t="s">
        <v>99</v>
      </c>
      <c r="P8" s="28" t="s">
        <v>100</v>
      </c>
      <c r="Q8" s="29" t="s">
        <v>97</v>
      </c>
      <c r="R8" s="29" t="s">
        <v>16</v>
      </c>
      <c r="S8" s="30" t="s">
        <v>280</v>
      </c>
      <c r="T8" s="29" t="s">
        <v>101</v>
      </c>
      <c r="U8" s="28" t="s">
        <v>102</v>
      </c>
      <c r="V8" s="29" t="s">
        <v>97</v>
      </c>
      <c r="W8" s="29" t="s">
        <v>103</v>
      </c>
      <c r="X8" s="29" t="s">
        <v>16</v>
      </c>
      <c r="Y8" s="228" t="s">
        <v>104</v>
      </c>
      <c r="Z8" s="401" t="s">
        <v>647</v>
      </c>
      <c r="AA8" s="401" t="s">
        <v>648</v>
      </c>
      <c r="AB8" s="401" t="s">
        <v>649</v>
      </c>
      <c r="AC8" s="27" t="s">
        <v>93</v>
      </c>
      <c r="AD8" s="30" t="s">
        <v>104</v>
      </c>
      <c r="AE8" s="30" t="s">
        <v>104</v>
      </c>
      <c r="AF8" s="29" t="s">
        <v>97</v>
      </c>
      <c r="AG8" s="29" t="s">
        <v>16</v>
      </c>
      <c r="AH8" s="30" t="s">
        <v>104</v>
      </c>
      <c r="AI8" s="425"/>
      <c r="AJ8" s="426"/>
      <c r="AL8" s="427"/>
      <c r="AM8" s="428"/>
      <c r="AO8" s="228" t="s">
        <v>439</v>
      </c>
    </row>
    <row r="9" spans="1:41" ht="22.9" customHeight="1" x14ac:dyDescent="0.25">
      <c r="A9" s="279" t="s">
        <v>18</v>
      </c>
      <c r="B9" s="404" t="s">
        <v>18</v>
      </c>
      <c r="C9" s="405"/>
      <c r="D9" s="405"/>
      <c r="E9" s="405"/>
      <c r="F9" s="406"/>
      <c r="G9" s="29" t="s">
        <v>21</v>
      </c>
      <c r="H9" s="29" t="s">
        <v>21</v>
      </c>
      <c r="I9" s="29" t="s">
        <v>21</v>
      </c>
      <c r="J9" s="29" t="s">
        <v>21</v>
      </c>
      <c r="K9" s="29" t="s">
        <v>21</v>
      </c>
      <c r="L9" s="29" t="s">
        <v>21</v>
      </c>
      <c r="M9" s="29" t="s">
        <v>21</v>
      </c>
      <c r="N9" s="29" t="s">
        <v>21</v>
      </c>
      <c r="O9" s="279"/>
      <c r="P9" s="279"/>
      <c r="Q9" s="279"/>
      <c r="R9" s="279"/>
      <c r="S9" s="279"/>
      <c r="T9" s="29" t="s">
        <v>21</v>
      </c>
      <c r="U9" s="29" t="s">
        <v>21</v>
      </c>
      <c r="V9" s="29" t="s">
        <v>21</v>
      </c>
      <c r="W9" s="29" t="s">
        <v>21</v>
      </c>
      <c r="X9" s="29" t="s">
        <v>21</v>
      </c>
      <c r="Y9" s="29" t="s">
        <v>21</v>
      </c>
      <c r="Z9" s="29" t="s">
        <v>21</v>
      </c>
      <c r="AA9" s="29" t="s">
        <v>21</v>
      </c>
      <c r="AB9" s="29" t="s">
        <v>21</v>
      </c>
      <c r="AC9" s="29" t="s">
        <v>21</v>
      </c>
      <c r="AD9" s="29" t="s">
        <v>21</v>
      </c>
      <c r="AE9" s="29" t="s">
        <v>21</v>
      </c>
      <c r="AF9" s="29" t="s">
        <v>21</v>
      </c>
      <c r="AG9" s="29" t="s">
        <v>21</v>
      </c>
      <c r="AH9" s="29" t="s">
        <v>21</v>
      </c>
      <c r="AI9" s="279" t="s">
        <v>18</v>
      </c>
      <c r="AJ9" s="429"/>
      <c r="AM9" s="430"/>
      <c r="AO9" s="298"/>
    </row>
    <row r="10" spans="1:41" ht="42" customHeight="1" x14ac:dyDescent="0.25">
      <c r="A10" s="431" t="s">
        <v>105</v>
      </c>
      <c r="B10" s="31">
        <f>'прилож.3-школы'!$N$21+'прилож.3-школы'!$N$42+'прилож.3-школы'!P41</f>
        <v>41257646.719999991</v>
      </c>
      <c r="C10" s="31">
        <f>'прилож.3-школы'!$N$30</f>
        <v>44081209.299999997</v>
      </c>
      <c r="D10" s="31">
        <f>'прилож.3-школы'!$N$37</f>
        <v>9067342.709999999</v>
      </c>
      <c r="E10" s="32">
        <f>'прилож.3-школы'!$N$40</f>
        <v>7529741.4400000004</v>
      </c>
      <c r="F10" s="32">
        <v>0</v>
      </c>
      <c r="G10" s="33">
        <f t="shared" ref="G10:G16" si="0">SUM(B10:F10)</f>
        <v>101935940.16999997</v>
      </c>
      <c r="H10" s="32">
        <f>'прилож.3-школы'!$O$48-'прилож.4-школы'!I10-'прилож.4-школы'!L10</f>
        <v>51742601.629999988</v>
      </c>
      <c r="I10" s="32">
        <f t="shared" ref="I10:I15" si="1">E10</f>
        <v>7529741.4400000004</v>
      </c>
      <c r="J10" s="32">
        <f>'прилож.3-школы'!$P$48</f>
        <v>14759037.050000001</v>
      </c>
      <c r="K10" s="32">
        <f>'прилож.3-школы'!$R$48</f>
        <v>20873760.050000001</v>
      </c>
      <c r="L10" s="32">
        <f>'прилож.3-школы'!$O$45</f>
        <v>7030800</v>
      </c>
      <c r="M10" s="33">
        <f>SUM(H10:L10)</f>
        <v>101935940.16999999</v>
      </c>
      <c r="N10" s="32"/>
      <c r="O10" s="32">
        <f t="shared" ref="O10:O16" si="2">T10/H10</f>
        <v>1.0563170826012447</v>
      </c>
      <c r="P10" s="32">
        <f>U10/E10</f>
        <v>0.98713548921010486</v>
      </c>
      <c r="Q10" s="32">
        <f t="shared" ref="Q10:Q16" si="3">V10/J10</f>
        <v>1.1093896535749939</v>
      </c>
      <c r="R10" s="32">
        <f>X10/K10</f>
        <v>1.0121796604632332</v>
      </c>
      <c r="S10" s="32">
        <f>(Y10-U10)/(G10-E10)</f>
        <v>1.0506610126701372</v>
      </c>
      <c r="T10" s="32">
        <f>48905789+537930+5212875</f>
        <v>54656594</v>
      </c>
      <c r="U10" s="32">
        <f>6878358+554517</f>
        <v>7432875</v>
      </c>
      <c r="V10" s="32">
        <v>16373523</v>
      </c>
      <c r="W10" s="32">
        <f t="shared" ref="W10:W15" si="4">L10</f>
        <v>7030800</v>
      </c>
      <c r="X10" s="432">
        <f>17045758+3888020+194217.36</f>
        <v>21127995.359999999</v>
      </c>
      <c r="Y10" s="33">
        <f>SUM(T10:X10)</f>
        <v>106621787.36</v>
      </c>
      <c r="Z10" s="32">
        <f>B10*S10</f>
        <v>43347800.883221954</v>
      </c>
      <c r="AA10" s="32">
        <f>C10*S10</f>
        <v>46314408.002862267</v>
      </c>
      <c r="AB10" s="32">
        <f>D10*S10</f>
        <v>9526703.4739157856</v>
      </c>
      <c r="AC10" s="32">
        <f>U10</f>
        <v>7432875</v>
      </c>
      <c r="AD10" s="32">
        <f>SUM(Z10:AC10)</f>
        <v>106621787.36000001</v>
      </c>
      <c r="AE10" s="32">
        <f>87899873+8766565.34</f>
        <v>96666438.340000004</v>
      </c>
      <c r="AF10" s="32">
        <f t="shared" ref="AF10:AG10" si="5">62181472+Y10</f>
        <v>168803259.36000001</v>
      </c>
      <c r="AG10" s="32">
        <f t="shared" si="5"/>
        <v>105529272.88322195</v>
      </c>
      <c r="AH10" s="32">
        <f>87899873+8538815.33</f>
        <v>96438688.329999998</v>
      </c>
      <c r="AI10" s="431" t="s">
        <v>105</v>
      </c>
      <c r="AJ10" s="433">
        <f>K10-X10</f>
        <v>-254235.30999999866</v>
      </c>
      <c r="AK10" s="434"/>
      <c r="AL10" s="434"/>
      <c r="AM10" s="434"/>
      <c r="AO10" s="61">
        <f>Y10-W10</f>
        <v>99590987.359999999</v>
      </c>
    </row>
    <row r="11" spans="1:41" ht="36.6" customHeight="1" x14ac:dyDescent="0.25">
      <c r="A11" s="431" t="s">
        <v>51</v>
      </c>
      <c r="B11" s="31">
        <f>'прилож.3-школы'!$N$61+'прилож.3-школы'!$N$83</f>
        <v>31458595.509999998</v>
      </c>
      <c r="C11" s="32">
        <f>'прилож.3-школы'!$N$73</f>
        <v>36181224.390000001</v>
      </c>
      <c r="D11" s="32">
        <f>'прилож.3-школы'!$N$79</f>
        <v>4873016.8999999994</v>
      </c>
      <c r="E11" s="32">
        <f>'прилож.3-школы'!$N$82</f>
        <v>7555370.2400000002</v>
      </c>
      <c r="F11" s="32">
        <v>0</v>
      </c>
      <c r="G11" s="33">
        <f t="shared" si="0"/>
        <v>80068207.040000007</v>
      </c>
      <c r="H11" s="32">
        <f>'прилож.3-школы'!$O$90-'прилож.4-школы'!I11-'прилож.4-школы'!L11</f>
        <v>40792233.460000001</v>
      </c>
      <c r="I11" s="32">
        <f t="shared" si="1"/>
        <v>7555370.2400000002</v>
      </c>
      <c r="J11" s="32">
        <f>'прилож.3-школы'!$P$90</f>
        <v>10828272.169999998</v>
      </c>
      <c r="K11" s="32">
        <f>'прилож.3-школы'!$R$90</f>
        <v>15502051.17</v>
      </c>
      <c r="L11" s="32">
        <f>'прилож.3-школы'!$O$87</f>
        <v>5390280</v>
      </c>
      <c r="M11" s="33">
        <f t="shared" ref="M11:M16" si="6">SUM(H11:L11)</f>
        <v>80068207.040000007</v>
      </c>
      <c r="N11" s="32"/>
      <c r="O11" s="32">
        <f t="shared" si="2"/>
        <v>1.1170101054819761</v>
      </c>
      <c r="P11" s="32">
        <f t="shared" ref="P11:P16" si="7">U11/I11</f>
        <v>1.0557833364364682</v>
      </c>
      <c r="Q11" s="32">
        <f t="shared" si="3"/>
        <v>1.1118817306196325</v>
      </c>
      <c r="R11" s="32">
        <f t="shared" ref="R11:R16" si="8">X11/K11</f>
        <v>1.1152383126858174</v>
      </c>
      <c r="S11" s="32">
        <f t="shared" ref="S11:S16" si="9">(Y11-U11)/(G11-E11)</f>
        <v>1.1071675020994349</v>
      </c>
      <c r="T11" s="32">
        <f>40285890+537930+4741517</f>
        <v>45565337</v>
      </c>
      <c r="U11" s="32">
        <f>7790901+185933</f>
        <v>7976834</v>
      </c>
      <c r="V11" s="32">
        <v>12039758</v>
      </c>
      <c r="W11" s="32">
        <f t="shared" si="4"/>
        <v>5390280</v>
      </c>
      <c r="X11" s="432">
        <f>11895411.4+5133527.99+259542</f>
        <v>17288481.390000001</v>
      </c>
      <c r="Y11" s="33">
        <f t="shared" ref="Y11:Y16" si="10">SUM(T11:X11)</f>
        <v>88260690.390000001</v>
      </c>
      <c r="Z11" s="32">
        <f t="shared" ref="Z11:Z15" si="11">B11*S11</f>
        <v>34829934.6103632</v>
      </c>
      <c r="AA11" s="32">
        <f t="shared" ref="AA11:AA15" si="12">C11*S11</f>
        <v>40058675.830775455</v>
      </c>
      <c r="AB11" s="32">
        <f t="shared" ref="AB11:AB15" si="13">D11*S11</f>
        <v>5395245.9488613317</v>
      </c>
      <c r="AC11" s="32">
        <f t="shared" ref="AC11:AC15" si="14">U11</f>
        <v>7976834</v>
      </c>
      <c r="AD11" s="32">
        <f t="shared" ref="AD11:AD15" si="15">SUM(Z11:AC11)</f>
        <v>88260690.389999986</v>
      </c>
      <c r="AE11" s="32">
        <f>73875531.7+6512263.24</f>
        <v>80387794.939999998</v>
      </c>
      <c r="AF11" s="32">
        <f t="shared" ref="AF11:AG11" si="16">44186591.91+8707329.7</f>
        <v>52893921.609999999</v>
      </c>
      <c r="AG11" s="32">
        <f t="shared" si="16"/>
        <v>52893921.609999999</v>
      </c>
      <c r="AH11" s="32">
        <f>73875531.7+6518913.23</f>
        <v>80394444.930000007</v>
      </c>
      <c r="AI11" s="431" t="s">
        <v>51</v>
      </c>
      <c r="AJ11" s="433">
        <f t="shared" ref="AJ11:AJ15" si="17">K11-X11</f>
        <v>-1786430.2200000007</v>
      </c>
      <c r="AK11" s="417"/>
      <c r="AM11" s="417"/>
      <c r="AO11" s="61">
        <f t="shared" ref="AO11:AO15" si="18">Y11-W11</f>
        <v>82870410.390000001</v>
      </c>
    </row>
    <row r="12" spans="1:41" ht="36.6" customHeight="1" x14ac:dyDescent="0.25">
      <c r="A12" s="431" t="s">
        <v>56</v>
      </c>
      <c r="B12" s="32">
        <f>'прилож.3-школы'!$N$101+'прилож.3-школы'!$N$123+'прилож.3-школы'!N124</f>
        <v>28384640.469999999</v>
      </c>
      <c r="C12" s="32">
        <f>'прилож.3-школы'!$N$111</f>
        <v>32528209.849999998</v>
      </c>
      <c r="D12" s="32">
        <f>'прилож.3-школы'!$N$119</f>
        <v>6022529.7599999998</v>
      </c>
      <c r="E12" s="32">
        <f>'прилож.3-школы'!$N$122</f>
        <v>9128978.5600000005</v>
      </c>
      <c r="F12" s="32">
        <v>0</v>
      </c>
      <c r="G12" s="33">
        <f t="shared" si="0"/>
        <v>76064358.639999986</v>
      </c>
      <c r="H12" s="32">
        <f>'прилож.3-школы'!$O$130-'прилож.4-школы'!I12-'прилож.4-школы'!L12</f>
        <v>35120014.639999993</v>
      </c>
      <c r="I12" s="32">
        <f t="shared" si="1"/>
        <v>9128978.5600000005</v>
      </c>
      <c r="J12" s="32">
        <f>'прилож.3-школы'!$P$130</f>
        <v>10720290.66</v>
      </c>
      <c r="K12" s="32">
        <f>'прилож.3-школы'!$R$130</f>
        <v>16173514.780000001</v>
      </c>
      <c r="L12" s="32">
        <f>'прилож.3-школы'!$O$127</f>
        <v>4921560</v>
      </c>
      <c r="M12" s="33">
        <f t="shared" si="6"/>
        <v>76064358.640000001</v>
      </c>
      <c r="N12" s="32"/>
      <c r="O12" s="32">
        <f t="shared" si="2"/>
        <v>1.095710477186749</v>
      </c>
      <c r="P12" s="32">
        <f t="shared" si="7"/>
        <v>1.1007278562389349</v>
      </c>
      <c r="Q12" s="32">
        <f t="shared" si="3"/>
        <v>1.0875553070125432</v>
      </c>
      <c r="R12" s="32">
        <f>X12/K12</f>
        <v>0.80092241829948108</v>
      </c>
      <c r="S12" s="32">
        <f t="shared" si="9"/>
        <v>1.0161377658378721</v>
      </c>
      <c r="T12" s="32">
        <f>34987579+537930+2955859</f>
        <v>38481368</v>
      </c>
      <c r="U12" s="32">
        <v>10048521</v>
      </c>
      <c r="V12" s="32">
        <f>11351838+307071</f>
        <v>11658909</v>
      </c>
      <c r="W12" s="32">
        <f t="shared" si="4"/>
        <v>4921560</v>
      </c>
      <c r="X12" s="32">
        <f>11371049.33+1583534.14-852.9</f>
        <v>12953730.57</v>
      </c>
      <c r="Y12" s="33">
        <f t="shared" si="10"/>
        <v>78064088.569999993</v>
      </c>
      <c r="Z12" s="32">
        <f t="shared" si="11"/>
        <v>28842705.151297048</v>
      </c>
      <c r="AA12" s="32">
        <f t="shared" si="12"/>
        <v>33053142.483684462</v>
      </c>
      <c r="AB12" s="32">
        <f t="shared" si="13"/>
        <v>6119719.9350184957</v>
      </c>
      <c r="AC12" s="32">
        <f>U12</f>
        <v>10048521</v>
      </c>
      <c r="AD12" s="32">
        <f t="shared" si="15"/>
        <v>78064088.570000008</v>
      </c>
      <c r="AE12" s="32">
        <f>67045126.4+5575323.34</f>
        <v>72620449.739999995</v>
      </c>
      <c r="AF12" s="32">
        <f t="shared" ref="AF12:AG15" si="19">J12</f>
        <v>10720290.66</v>
      </c>
      <c r="AG12" s="32">
        <f t="shared" si="19"/>
        <v>16173514.780000001</v>
      </c>
      <c r="AH12" s="32">
        <f>67045126.4+5581973.33</f>
        <v>72627099.730000004</v>
      </c>
      <c r="AI12" s="431" t="s">
        <v>56</v>
      </c>
      <c r="AJ12" s="433">
        <f t="shared" si="17"/>
        <v>3219784.2100000009</v>
      </c>
      <c r="AK12" s="417"/>
      <c r="AL12" s="417"/>
      <c r="AO12" s="61">
        <f t="shared" si="18"/>
        <v>73142528.569999993</v>
      </c>
    </row>
    <row r="13" spans="1:41" ht="36.6" customHeight="1" x14ac:dyDescent="0.25">
      <c r="A13" s="431" t="s">
        <v>106</v>
      </c>
      <c r="B13" s="32">
        <f>'прилож.3-школы'!$N$229+'прилож.3-школы'!$N$257+'прилож.3-школы'!N256</f>
        <v>16954797.169999998</v>
      </c>
      <c r="C13" s="32">
        <f>'прилож.3-школы'!$N$240</f>
        <v>18009896.909999996</v>
      </c>
      <c r="D13" s="32">
        <f>'прилож.3-школы'!$N$246</f>
        <v>4579877.68</v>
      </c>
      <c r="E13" s="32">
        <f>'прилож.3-школы'!$N$249</f>
        <v>2629309.3000000003</v>
      </c>
      <c r="F13" s="32">
        <v>0</v>
      </c>
      <c r="G13" s="33">
        <f t="shared" si="0"/>
        <v>42173881.059999995</v>
      </c>
      <c r="H13" s="32">
        <f>'прилож.3-школы'!$O$258-'прилож.4-школы'!I13-'прилож.4-школы'!L13</f>
        <v>19122676.889999997</v>
      </c>
      <c r="I13" s="32">
        <f t="shared" si="1"/>
        <v>2629309.3000000003</v>
      </c>
      <c r="J13" s="32">
        <f>'прилож.3-школы'!$P$258</f>
        <v>6805386.75</v>
      </c>
      <c r="K13" s="32">
        <f>'прилож.3-школы'!$R$258</f>
        <v>10569828.119999999</v>
      </c>
      <c r="L13" s="32">
        <f>'прилож.3-школы'!$O$254</f>
        <v>3046680</v>
      </c>
      <c r="M13" s="33">
        <f t="shared" si="6"/>
        <v>42173881.059999995</v>
      </c>
      <c r="N13" s="32"/>
      <c r="O13" s="32">
        <f t="shared" si="2"/>
        <v>1.1491457041504194</v>
      </c>
      <c r="P13" s="32">
        <f t="shared" si="7"/>
        <v>1.0873920386620166</v>
      </c>
      <c r="Q13" s="32">
        <f t="shared" si="3"/>
        <v>1.0821023507591248</v>
      </c>
      <c r="R13" s="32">
        <f t="shared" si="8"/>
        <v>0.98975422128245549</v>
      </c>
      <c r="S13" s="32">
        <f t="shared" si="9"/>
        <v>1.0835135416320412</v>
      </c>
      <c r="T13" s="32">
        <f>20753629+537930+683183</f>
        <v>21974742</v>
      </c>
      <c r="U13" s="32">
        <f>2853750+5340</f>
        <v>2859090</v>
      </c>
      <c r="V13" s="32">
        <f>7069203+294922</f>
        <v>7364125</v>
      </c>
      <c r="W13" s="32">
        <f t="shared" si="4"/>
        <v>3046680</v>
      </c>
      <c r="X13" s="32">
        <f>9132923+1278609+50000</f>
        <v>10461532</v>
      </c>
      <c r="Y13" s="33">
        <f t="shared" si="10"/>
        <v>45706169</v>
      </c>
      <c r="Z13" s="32">
        <f t="shared" si="11"/>
        <v>18370752.329319607</v>
      </c>
      <c r="AA13" s="32">
        <f t="shared" si="12"/>
        <v>19513967.18538205</v>
      </c>
      <c r="AB13" s="32">
        <f t="shared" si="13"/>
        <v>4962359.4852983356</v>
      </c>
      <c r="AC13" s="32">
        <f t="shared" si="14"/>
        <v>2859090</v>
      </c>
      <c r="AD13" s="32">
        <f t="shared" si="15"/>
        <v>45706168.999999993</v>
      </c>
      <c r="AE13" s="32">
        <f>39546616+3700443.34</f>
        <v>43247059.340000004</v>
      </c>
      <c r="AF13" s="32">
        <f t="shared" si="19"/>
        <v>6805386.75</v>
      </c>
      <c r="AG13" s="32">
        <f t="shared" si="19"/>
        <v>10569828.119999999</v>
      </c>
      <c r="AH13" s="32">
        <f>39546616+3707093.33</f>
        <v>43253709.329999998</v>
      </c>
      <c r="AI13" s="431" t="s">
        <v>106</v>
      </c>
      <c r="AJ13" s="433">
        <f t="shared" si="17"/>
        <v>108296.11999999918</v>
      </c>
      <c r="AK13" s="417"/>
      <c r="AL13" s="417"/>
      <c r="AO13" s="61">
        <f t="shared" si="18"/>
        <v>42659489</v>
      </c>
    </row>
    <row r="14" spans="1:41" ht="36.6" customHeight="1" x14ac:dyDescent="0.25">
      <c r="A14" s="431" t="s">
        <v>107</v>
      </c>
      <c r="B14" s="32">
        <f>'прилож.3-школы'!$N$143+'прилож.3-школы'!$N$164+'прилож.3-школы'!$N$168</f>
        <v>30038076.780000001</v>
      </c>
      <c r="C14" s="32">
        <f>'прилож.3-школы'!$N$154</f>
        <v>32600026.039999999</v>
      </c>
      <c r="D14" s="32">
        <f>'прилож.3-школы'!$N$160</f>
        <v>5471054.4799999995</v>
      </c>
      <c r="E14" s="32">
        <f>'прилож.3-школы'!$N$163</f>
        <v>5951007.3600000003</v>
      </c>
      <c r="F14" s="32">
        <v>0</v>
      </c>
      <c r="G14" s="33">
        <f t="shared" si="0"/>
        <v>74060164.659999996</v>
      </c>
      <c r="H14" s="32">
        <f>'прилож.3-школы'!$O$172-'прилож.4-школы'!I14-'прилож.4-школы'!L14</f>
        <v>38594487.449999996</v>
      </c>
      <c r="I14" s="32">
        <f t="shared" si="1"/>
        <v>5951007.3600000003</v>
      </c>
      <c r="J14" s="32">
        <f>'прилож.3-школы'!$P$172</f>
        <v>9850891.9400000013</v>
      </c>
      <c r="K14" s="32">
        <f>'прилож.3-школы'!$R$172</f>
        <v>14976557.909999998</v>
      </c>
      <c r="L14" s="32">
        <f>'прилож.3-школы'!$O$169</f>
        <v>4687220</v>
      </c>
      <c r="M14" s="33">
        <f t="shared" si="6"/>
        <v>74060164.659999996</v>
      </c>
      <c r="N14" s="32"/>
      <c r="O14" s="32">
        <f t="shared" si="2"/>
        <v>1.1142676543046046</v>
      </c>
      <c r="P14" s="32">
        <f t="shared" si="7"/>
        <v>0.94960006905452721</v>
      </c>
      <c r="Q14" s="32">
        <f t="shared" si="3"/>
        <v>1.0874776685450067</v>
      </c>
      <c r="R14" s="32">
        <f t="shared" si="8"/>
        <v>0.97336254348980789</v>
      </c>
      <c r="S14" s="32">
        <f t="shared" si="9"/>
        <v>1.0715454043651778</v>
      </c>
      <c r="T14" s="32">
        <f>39548005+537930+2918654</f>
        <v>43004589</v>
      </c>
      <c r="U14" s="32">
        <f>5053272+597805</f>
        <v>5651077</v>
      </c>
      <c r="V14" s="32">
        <f>10654648+57977</f>
        <v>10712625</v>
      </c>
      <c r="W14" s="32">
        <f t="shared" si="4"/>
        <v>4687220</v>
      </c>
      <c r="X14" s="432">
        <f>11382791+3194829.5</f>
        <v>14577620.5</v>
      </c>
      <c r="Y14" s="33">
        <f t="shared" si="10"/>
        <v>78633131.5</v>
      </c>
      <c r="Z14" s="32">
        <f t="shared" si="11"/>
        <v>32187163.129577357</v>
      </c>
      <c r="AA14" s="32">
        <f t="shared" si="12"/>
        <v>34932408.085347123</v>
      </c>
      <c r="AB14" s="32">
        <f t="shared" si="13"/>
        <v>5862483.2850755164</v>
      </c>
      <c r="AC14" s="32">
        <f t="shared" si="14"/>
        <v>5651077</v>
      </c>
      <c r="AD14" s="32">
        <f t="shared" si="15"/>
        <v>78633131.5</v>
      </c>
      <c r="AE14" s="32">
        <f>66498061+5837401.32</f>
        <v>72335462.319999993</v>
      </c>
      <c r="AF14" s="32">
        <f t="shared" si="19"/>
        <v>9850891.9400000013</v>
      </c>
      <c r="AG14" s="32">
        <f t="shared" si="19"/>
        <v>14976557.909999998</v>
      </c>
      <c r="AH14" s="32">
        <f>66498061+5844051.34</f>
        <v>72342112.340000004</v>
      </c>
      <c r="AI14" s="431" t="s">
        <v>107</v>
      </c>
      <c r="AJ14" s="433">
        <f t="shared" si="17"/>
        <v>398937.40999999829</v>
      </c>
      <c r="AK14" s="417"/>
      <c r="AL14" s="417"/>
      <c r="AO14" s="61">
        <f t="shared" si="18"/>
        <v>73945911.5</v>
      </c>
    </row>
    <row r="15" spans="1:41" ht="36.6" customHeight="1" x14ac:dyDescent="0.25">
      <c r="A15" s="431" t="s">
        <v>61</v>
      </c>
      <c r="B15" s="32">
        <f>'прилож.3-школы'!$N$185+'прилож.3-школы'!N210+'прилож.3-школы'!$N$211+'прилож.3-школы'!$N$212</f>
        <v>35238102.627999999</v>
      </c>
      <c r="C15" s="32">
        <f>'прилож.3-школы'!$N$197</f>
        <v>46484141.620000005</v>
      </c>
      <c r="D15" s="32">
        <f>'прилож.3-школы'!$N$205</f>
        <v>12342445.129999999</v>
      </c>
      <c r="E15" s="32">
        <f>'прилож.3-школы'!$N$209</f>
        <v>11558588.800000001</v>
      </c>
      <c r="F15" s="32">
        <v>0</v>
      </c>
      <c r="G15" s="33">
        <f t="shared" si="0"/>
        <v>105623278.17799999</v>
      </c>
      <c r="H15" s="32">
        <f>'прилож.3-школы'!$O$217-'прилож.4-школы'!I15-'прилож.4-школы'!L15</f>
        <v>49736386.560000002</v>
      </c>
      <c r="I15" s="32">
        <f t="shared" si="1"/>
        <v>11558588.800000001</v>
      </c>
      <c r="J15" s="32">
        <f>'прилож.3-школы'!$P$217</f>
        <v>14788067.408</v>
      </c>
      <c r="K15" s="32">
        <f>'прилож.3-школы'!$R$217</f>
        <v>22275075.41</v>
      </c>
      <c r="L15" s="32">
        <f>'прилож.3-школы'!$O$214</f>
        <v>7265160</v>
      </c>
      <c r="M15" s="33">
        <f>SUM(H15:L15)</f>
        <v>105623278.178</v>
      </c>
      <c r="N15" s="32"/>
      <c r="O15" s="32">
        <f t="shared" si="2"/>
        <v>1.09732706323891</v>
      </c>
      <c r="P15" s="32">
        <f t="shared" si="7"/>
        <v>1.0588207792286892</v>
      </c>
      <c r="Q15" s="32">
        <f t="shared" si="3"/>
        <v>1.075211084810062</v>
      </c>
      <c r="R15" s="32">
        <f t="shared" si="8"/>
        <v>0.97804298926052435</v>
      </c>
      <c r="S15" s="32">
        <f t="shared" si="9"/>
        <v>1.0580858662068564</v>
      </c>
      <c r="T15" s="32">
        <f>49816671+537950+4222462</f>
        <v>54577083</v>
      </c>
      <c r="U15" s="32">
        <f>11979103+259371</f>
        <v>12238474</v>
      </c>
      <c r="V15" s="32">
        <f>14900330+999964</f>
        <v>15900294</v>
      </c>
      <c r="W15" s="32">
        <f t="shared" si="4"/>
        <v>7265160</v>
      </c>
      <c r="X15" s="32">
        <f>17805910+3980071.34</f>
        <v>21785981.34</v>
      </c>
      <c r="Y15" s="33">
        <f t="shared" si="10"/>
        <v>111766992.34</v>
      </c>
      <c r="Z15" s="32">
        <f t="shared" si="11"/>
        <v>37284938.342633478</v>
      </c>
      <c r="AA15" s="32">
        <f t="shared" si="12"/>
        <v>49184213.250879891</v>
      </c>
      <c r="AB15" s="32">
        <f t="shared" si="13"/>
        <v>13059366.746486645</v>
      </c>
      <c r="AC15" s="32">
        <f t="shared" si="14"/>
        <v>12238474</v>
      </c>
      <c r="AD15" s="32">
        <f t="shared" si="15"/>
        <v>111766992.34000002</v>
      </c>
      <c r="AE15" s="32">
        <f>93940768+7918943.32</f>
        <v>101859711.31999999</v>
      </c>
      <c r="AF15" s="32">
        <f t="shared" si="19"/>
        <v>14788067.408</v>
      </c>
      <c r="AG15" s="32">
        <f t="shared" si="19"/>
        <v>22275075.41</v>
      </c>
      <c r="AH15" s="32">
        <f>93940768+7925593.34</f>
        <v>101866361.34</v>
      </c>
      <c r="AI15" s="431" t="s">
        <v>61</v>
      </c>
      <c r="AJ15" s="433">
        <f t="shared" si="17"/>
        <v>489094.0700000003</v>
      </c>
      <c r="AK15" s="417"/>
      <c r="AL15" s="417"/>
      <c r="AO15" s="61">
        <f t="shared" si="18"/>
        <v>104501832.34</v>
      </c>
    </row>
    <row r="16" spans="1:41" ht="36.6" customHeight="1" x14ac:dyDescent="0.25">
      <c r="A16" s="435" t="s">
        <v>108</v>
      </c>
      <c r="B16" s="33">
        <f t="shared" ref="B16:K16" si="20">SUM(B10:B15)</f>
        <v>183331859.27799997</v>
      </c>
      <c r="C16" s="33">
        <f t="shared" si="20"/>
        <v>209884708.10999998</v>
      </c>
      <c r="D16" s="33">
        <f>SUM(D10:D15)</f>
        <v>42356266.659999996</v>
      </c>
      <c r="E16" s="33">
        <f t="shared" si="20"/>
        <v>44352995.700000003</v>
      </c>
      <c r="F16" s="33">
        <f t="shared" si="20"/>
        <v>0</v>
      </c>
      <c r="G16" s="33">
        <f t="shared" si="0"/>
        <v>479925829.74799997</v>
      </c>
      <c r="H16" s="33">
        <f>SUM(H10:H15)</f>
        <v>235108400.62999997</v>
      </c>
      <c r="I16" s="33">
        <f>SUM(I10:I15)</f>
        <v>44352995.700000003</v>
      </c>
      <c r="J16" s="33">
        <f>SUM(J10:J15)</f>
        <v>67751945.977999985</v>
      </c>
      <c r="K16" s="33">
        <f t="shared" si="20"/>
        <v>100370787.44</v>
      </c>
      <c r="L16" s="33">
        <f>SUM(L10:L15)</f>
        <v>32341700</v>
      </c>
      <c r="M16" s="33">
        <f t="shared" si="6"/>
        <v>479925829.74799997</v>
      </c>
      <c r="N16" s="32">
        <f>SUM(N10:N15)</f>
        <v>0</v>
      </c>
      <c r="O16" s="32">
        <f t="shared" si="2"/>
        <v>1.0984708003115304</v>
      </c>
      <c r="P16" s="32">
        <f t="shared" si="7"/>
        <v>1.0417981980865387</v>
      </c>
      <c r="Q16" s="32">
        <f t="shared" si="3"/>
        <v>1.0929462310063365</v>
      </c>
      <c r="R16" s="32">
        <f t="shared" si="8"/>
        <v>0.97832590203299497</v>
      </c>
      <c r="S16" s="32">
        <f t="shared" si="9"/>
        <v>1.0626144515454206</v>
      </c>
      <c r="T16" s="33">
        <f>SUM(T10:T15)</f>
        <v>258259713</v>
      </c>
      <c r="U16" s="33">
        <f>SUM(U10:U15)</f>
        <v>46206871</v>
      </c>
      <c r="V16" s="33">
        <f>SUM(V10:V15)</f>
        <v>74049234</v>
      </c>
      <c r="W16" s="33">
        <f>SUM(W10:W15)</f>
        <v>32341700</v>
      </c>
      <c r="X16" s="33">
        <f>SUM(X10:X15)</f>
        <v>98195341.159999996</v>
      </c>
      <c r="Y16" s="33">
        <f t="shared" si="10"/>
        <v>509052859.15999997</v>
      </c>
      <c r="Z16" s="33">
        <f>SUM(Z10:Z15)</f>
        <v>194863294.44641265</v>
      </c>
      <c r="AA16" s="33">
        <f>SUM(AA10:AA15)</f>
        <v>223056814.83893123</v>
      </c>
      <c r="AB16" s="33">
        <f>SUM(AB10:AB15)</f>
        <v>44925878.874656111</v>
      </c>
      <c r="AC16" s="33">
        <f>SUM(AC10:AC15)</f>
        <v>46206871</v>
      </c>
      <c r="AD16" s="33">
        <f>SUM(Z16:AC16)</f>
        <v>509052859.15999997</v>
      </c>
      <c r="AE16" s="33">
        <f>SUM(AE10:AE15)</f>
        <v>467116916</v>
      </c>
      <c r="AF16" s="33">
        <f t="shared" ref="AF16:AG16" si="21">SUM(AF10:AF15)</f>
        <v>263861817.72800002</v>
      </c>
      <c r="AG16" s="33">
        <f t="shared" si="21"/>
        <v>222418170.71322194</v>
      </c>
      <c r="AH16" s="33">
        <f>SUM(AH10:AH15)</f>
        <v>466922416</v>
      </c>
      <c r="AI16" s="431" t="s">
        <v>108</v>
      </c>
      <c r="AJ16" s="433">
        <f>SUM(AJ10:AJ15)</f>
        <v>2175446.2799999993</v>
      </c>
      <c r="AK16" s="436" t="s">
        <v>424</v>
      </c>
      <c r="AO16" s="417">
        <f>SUM(AO10:AO15)</f>
        <v>476711159.15999997</v>
      </c>
    </row>
    <row r="17" spans="1:34" ht="36.6" customHeight="1" x14ac:dyDescent="0.25">
      <c r="G17" s="437"/>
      <c r="Y17" s="438"/>
    </row>
    <row r="18" spans="1:34" ht="36.6" customHeight="1" x14ac:dyDescent="0.25">
      <c r="A18" s="183" t="s">
        <v>78</v>
      </c>
      <c r="H18" s="417"/>
      <c r="I18" s="417"/>
      <c r="J18" s="417"/>
      <c r="T18" s="417"/>
      <c r="X18" s="439"/>
      <c r="Y18" s="417"/>
      <c r="AH18" s="417"/>
    </row>
    <row r="19" spans="1:34" x14ac:dyDescent="0.25">
      <c r="G19" s="440"/>
      <c r="H19" s="417"/>
      <c r="M19" s="417"/>
    </row>
    <row r="20" spans="1:34" ht="20.45" hidden="1" customHeight="1" x14ac:dyDescent="0.25">
      <c r="B20" s="417"/>
      <c r="C20" s="417"/>
      <c r="D20" s="417"/>
      <c r="R20" s="183">
        <v>1.03</v>
      </c>
      <c r="T20" s="183" t="s">
        <v>281</v>
      </c>
      <c r="Y20" s="441"/>
    </row>
    <row r="21" spans="1:34" x14ac:dyDescent="0.25">
      <c r="B21" s="417"/>
      <c r="G21" s="417"/>
    </row>
    <row r="22" spans="1:34" x14ac:dyDescent="0.25">
      <c r="H22" s="417"/>
    </row>
  </sheetData>
  <mergeCells count="12">
    <mergeCell ref="B9:E9"/>
    <mergeCell ref="A5:L5"/>
    <mergeCell ref="A7:A8"/>
    <mergeCell ref="G7:G8"/>
    <mergeCell ref="O7:R7"/>
    <mergeCell ref="B7:E7"/>
    <mergeCell ref="H7:L7"/>
    <mergeCell ref="AJ7:AL7"/>
    <mergeCell ref="X2:Y2"/>
    <mergeCell ref="X3:Y3"/>
    <mergeCell ref="Z7:AC7"/>
    <mergeCell ref="T7:Y7"/>
  </mergeCells>
  <pageMargins left="0" right="0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G209"/>
  <sheetViews>
    <sheetView zoomScale="70" zoomScaleNormal="70" workbookViewId="0">
      <selection activeCell="Q192" sqref="Q192"/>
    </sheetView>
  </sheetViews>
  <sheetFormatPr defaultColWidth="9.140625" defaultRowHeight="15" x14ac:dyDescent="0.25"/>
  <cols>
    <col min="1" max="1" width="28.5703125" style="38" customWidth="1"/>
    <col min="2" max="2" width="22.7109375" style="38" customWidth="1"/>
    <col min="3" max="3" width="23.7109375" style="38" customWidth="1"/>
    <col min="4" max="4" width="7.85546875" style="38" customWidth="1"/>
    <col min="5" max="5" width="10.7109375" style="38" hidden="1" customWidth="1"/>
    <col min="6" max="6" width="11" style="38" hidden="1" customWidth="1"/>
    <col min="7" max="7" width="8.7109375" style="38" customWidth="1"/>
    <col min="8" max="8" width="9.28515625" style="38" customWidth="1"/>
    <col min="9" max="9" width="8.5703125" style="38" customWidth="1"/>
    <col min="10" max="10" width="18.28515625" style="38" customWidth="1"/>
    <col min="11" max="11" width="13.140625" style="38" customWidth="1"/>
    <col min="12" max="12" width="13.85546875" style="38" customWidth="1"/>
    <col min="13" max="13" width="13.28515625" style="38" customWidth="1"/>
    <col min="14" max="14" width="15.140625" style="38" customWidth="1"/>
    <col min="15" max="15" width="16" style="38" customWidth="1"/>
    <col min="16" max="16" width="14.28515625" style="38" hidden="1" customWidth="1"/>
    <col min="17" max="17" width="15.140625" style="38" customWidth="1"/>
    <col min="18" max="18" width="0.42578125" style="38" hidden="1" customWidth="1"/>
    <col min="19" max="19" width="14.28515625" style="38" customWidth="1"/>
    <col min="20" max="20" width="16.5703125" style="38" customWidth="1"/>
    <col min="21" max="21" width="14.42578125" style="38" customWidth="1"/>
    <col min="22" max="22" width="15.28515625" style="38" customWidth="1"/>
    <col min="23" max="23" width="15.28515625" style="38" hidden="1" customWidth="1"/>
    <col min="24" max="24" width="17.5703125" style="38" hidden="1" customWidth="1"/>
    <col min="25" max="25" width="18.7109375" style="38" hidden="1" customWidth="1"/>
    <col min="26" max="26" width="9.140625" style="38" hidden="1" customWidth="1"/>
    <col min="27" max="27" width="16.5703125" style="38" hidden="1" customWidth="1"/>
    <col min="28" max="28" width="17.140625" style="38" hidden="1" customWidth="1"/>
    <col min="29" max="29" width="15.7109375" style="38" hidden="1" customWidth="1"/>
    <col min="30" max="30" width="9.140625" style="38" customWidth="1"/>
    <col min="31" max="31" width="13.5703125" style="38" hidden="1" customWidth="1"/>
    <col min="32" max="32" width="13.28515625" style="38" hidden="1" customWidth="1"/>
    <col min="33" max="33" width="13.85546875" style="38" hidden="1" customWidth="1"/>
    <col min="34" max="34" width="14.85546875" style="38" customWidth="1"/>
    <col min="35" max="16384" width="9.140625" style="38"/>
  </cols>
  <sheetData>
    <row r="1" spans="1:29" ht="16.149999999999999" customHeight="1" x14ac:dyDescent="0.25">
      <c r="T1" s="39"/>
    </row>
    <row r="2" spans="1:29" ht="21" customHeight="1" x14ac:dyDescent="0.25">
      <c r="T2" s="39" t="s">
        <v>0</v>
      </c>
    </row>
    <row r="3" spans="1:29" ht="21" customHeight="1" x14ac:dyDescent="0.25">
      <c r="T3" s="39" t="s">
        <v>603</v>
      </c>
    </row>
    <row r="4" spans="1:29" ht="21" customHeight="1" x14ac:dyDescent="0.25">
      <c r="T4" s="39"/>
    </row>
    <row r="5" spans="1:29" ht="21" customHeight="1" x14ac:dyDescent="0.25">
      <c r="A5" s="251" t="s">
        <v>540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</row>
    <row r="6" spans="1:29" ht="21" hidden="1" customHeight="1" x14ac:dyDescent="0.25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9" ht="21" customHeight="1" x14ac:dyDescent="0.25">
      <c r="A7" s="40" t="s">
        <v>282</v>
      </c>
    </row>
    <row r="8" spans="1:29" ht="21" customHeight="1" x14ac:dyDescent="0.25"/>
    <row r="9" spans="1:29" ht="51.6" customHeight="1" x14ac:dyDescent="0.25">
      <c r="A9" s="41" t="s">
        <v>2</v>
      </c>
      <c r="B9" s="41" t="s">
        <v>110</v>
      </c>
      <c r="C9" s="41" t="s">
        <v>111</v>
      </c>
      <c r="D9" s="312" t="s">
        <v>5</v>
      </c>
      <c r="E9" s="252" t="s">
        <v>6</v>
      </c>
      <c r="F9" s="253"/>
      <c r="G9" s="253"/>
      <c r="H9" s="253"/>
      <c r="I9" s="254"/>
      <c r="J9" s="252" t="s">
        <v>7</v>
      </c>
      <c r="K9" s="253"/>
      <c r="L9" s="253"/>
      <c r="M9" s="254"/>
      <c r="N9" s="252" t="s">
        <v>8</v>
      </c>
      <c r="O9" s="253"/>
      <c r="P9" s="253"/>
      <c r="Q9" s="253"/>
      <c r="R9" s="253"/>
      <c r="S9" s="253"/>
      <c r="T9" s="253"/>
      <c r="U9" s="253"/>
      <c r="V9" s="254"/>
    </row>
    <row r="10" spans="1:29" ht="84.6" customHeight="1" x14ac:dyDescent="0.25">
      <c r="A10" s="42"/>
      <c r="B10" s="42"/>
      <c r="C10" s="42"/>
      <c r="D10" s="42"/>
      <c r="E10" s="43" t="s">
        <v>453</v>
      </c>
      <c r="F10" s="325" t="s">
        <v>508</v>
      </c>
      <c r="G10" s="325" t="s">
        <v>637</v>
      </c>
      <c r="H10" s="47" t="s">
        <v>419</v>
      </c>
      <c r="I10" s="47" t="s">
        <v>534</v>
      </c>
      <c r="J10" s="43" t="s">
        <v>638</v>
      </c>
      <c r="K10" s="313" t="s">
        <v>418</v>
      </c>
      <c r="L10" s="43" t="s">
        <v>112</v>
      </c>
      <c r="M10" s="47" t="s">
        <v>113</v>
      </c>
      <c r="N10" s="314" t="s">
        <v>315</v>
      </c>
      <c r="O10" s="315"/>
      <c r="P10" s="315"/>
      <c r="Q10" s="315"/>
      <c r="R10" s="315"/>
      <c r="S10" s="315"/>
      <c r="T10" s="316"/>
      <c r="U10" s="47" t="s">
        <v>419</v>
      </c>
      <c r="V10" s="47" t="s">
        <v>534</v>
      </c>
      <c r="AA10" s="38">
        <v>21722659.059999999</v>
      </c>
      <c r="AB10" s="44">
        <f>AA10+U23</f>
        <v>23439424.18</v>
      </c>
    </row>
    <row r="11" spans="1:29" ht="97.15" customHeight="1" x14ac:dyDescent="0.25">
      <c r="A11" s="43" t="s">
        <v>18</v>
      </c>
      <c r="B11" s="43" t="s">
        <v>114</v>
      </c>
      <c r="C11" s="45"/>
      <c r="D11" s="155" t="s">
        <v>19</v>
      </c>
      <c r="E11" s="155" t="s">
        <v>20</v>
      </c>
      <c r="F11" s="155" t="s">
        <v>20</v>
      </c>
      <c r="G11" s="155" t="s">
        <v>20</v>
      </c>
      <c r="H11" s="155" t="s">
        <v>20</v>
      </c>
      <c r="I11" s="155" t="s">
        <v>20</v>
      </c>
      <c r="J11" s="43" t="s">
        <v>21</v>
      </c>
      <c r="K11" s="43" t="s">
        <v>21</v>
      </c>
      <c r="L11" s="43" t="s">
        <v>21</v>
      </c>
      <c r="M11" s="43" t="s">
        <v>21</v>
      </c>
      <c r="N11" s="43" t="s">
        <v>639</v>
      </c>
      <c r="O11" s="43" t="s">
        <v>115</v>
      </c>
      <c r="P11" s="41" t="s">
        <v>116</v>
      </c>
      <c r="Q11" s="41" t="s">
        <v>117</v>
      </c>
      <c r="R11" s="41" t="s">
        <v>118</v>
      </c>
      <c r="S11" s="41" t="s">
        <v>119</v>
      </c>
      <c r="T11" s="317" t="s">
        <v>113</v>
      </c>
      <c r="U11" s="43" t="s">
        <v>21</v>
      </c>
      <c r="V11" s="43" t="s">
        <v>21</v>
      </c>
      <c r="W11" s="44"/>
      <c r="AA11" s="44">
        <f>U12-AB10</f>
        <v>18895589.914999999</v>
      </c>
    </row>
    <row r="12" spans="1:29" ht="28.9" customHeight="1" x14ac:dyDescent="0.25">
      <c r="A12" s="46" t="s">
        <v>120</v>
      </c>
      <c r="B12" s="47"/>
      <c r="C12" s="47"/>
      <c r="D12" s="47"/>
      <c r="E12" s="48"/>
      <c r="F12" s="48"/>
      <c r="G12" s="48"/>
      <c r="H12" s="48"/>
      <c r="I12" s="48"/>
      <c r="J12" s="48"/>
      <c r="K12" s="48"/>
      <c r="L12" s="48"/>
      <c r="M12" s="53"/>
      <c r="N12" s="49">
        <f>N13+N25</f>
        <v>12518155.849999998</v>
      </c>
      <c r="O12" s="49">
        <f t="shared" ref="O12:R12" si="0">O13</f>
        <v>5627658.1150000002</v>
      </c>
      <c r="P12" s="49">
        <f t="shared" si="0"/>
        <v>0</v>
      </c>
      <c r="Q12" s="49">
        <f>Q13+Q22</f>
        <v>22736812.770000003</v>
      </c>
      <c r="R12" s="49">
        <f t="shared" si="0"/>
        <v>0</v>
      </c>
      <c r="S12" s="49">
        <f>S23</f>
        <v>1757640.48</v>
      </c>
      <c r="T12" s="49">
        <f>T13+T22+T23+T25</f>
        <v>42640267.214999996</v>
      </c>
      <c r="U12" s="49">
        <f>U13+U22+U23+U25</f>
        <v>42335014.094999999</v>
      </c>
      <c r="V12" s="49">
        <f>V13+V22+V23+V25</f>
        <v>42039764.524999999</v>
      </c>
      <c r="W12" s="44">
        <v>9687443.9800000004</v>
      </c>
      <c r="X12" s="44">
        <f>W12-Q12</f>
        <v>-13049368.790000003</v>
      </c>
      <c r="Y12" s="38">
        <f>X12/144</f>
        <v>-90620.616597222237</v>
      </c>
      <c r="AA12" s="38">
        <v>8719839.9800000004</v>
      </c>
      <c r="AB12" s="44">
        <f>AA12-Q12</f>
        <v>-14016972.790000003</v>
      </c>
      <c r="AC12" s="50">
        <f>AB12/I23</f>
        <v>-166868.72369047621</v>
      </c>
    </row>
    <row r="13" spans="1:29" ht="73.900000000000006" customHeight="1" x14ac:dyDescent="0.25">
      <c r="A13" s="43" t="s">
        <v>121</v>
      </c>
      <c r="B13" s="41" t="s">
        <v>122</v>
      </c>
      <c r="C13" s="41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>
        <f>N14+N15+N16+N17+N18+N19+N20+N21</f>
        <v>12255446.649999999</v>
      </c>
      <c r="O13" s="48">
        <f>O14+O15+O17+O18+O21+O20+O16+O19</f>
        <v>5627658.1150000002</v>
      </c>
      <c r="P13" s="48">
        <f t="shared" ref="P13:S13" si="1">P14+P15+P17+P18+P21+P20+P16</f>
        <v>0</v>
      </c>
      <c r="Q13" s="49">
        <f>Q14+Q15+Q17+Q18+Q21+Q20+Q16+Q19-1+0.47</f>
        <v>9969310.3900000025</v>
      </c>
      <c r="R13" s="48">
        <f t="shared" si="1"/>
        <v>0</v>
      </c>
      <c r="S13" s="48">
        <f t="shared" si="1"/>
        <v>0</v>
      </c>
      <c r="T13" s="49">
        <f>T14+T15+T17+T18+T21+T20+T16+T19-1+0.47</f>
        <v>27852415.154999997</v>
      </c>
      <c r="U13" s="48">
        <f t="shared" ref="U13:V13" si="2">U14+U15+U17+U18+U21+U20+U16+U19</f>
        <v>27852415.684999999</v>
      </c>
      <c r="V13" s="48">
        <f t="shared" si="2"/>
        <v>27852415.684999999</v>
      </c>
      <c r="W13" s="44">
        <v>21722659.059999999</v>
      </c>
      <c r="X13" s="44"/>
    </row>
    <row r="14" spans="1:29" ht="76.150000000000006" customHeight="1" x14ac:dyDescent="0.25">
      <c r="A14" s="43"/>
      <c r="B14" s="47" t="s">
        <v>425</v>
      </c>
      <c r="C14" s="246" t="s">
        <v>283</v>
      </c>
      <c r="D14" s="47" t="s">
        <v>124</v>
      </c>
      <c r="E14" s="51">
        <v>12</v>
      </c>
      <c r="F14" s="51">
        <v>15</v>
      </c>
      <c r="G14" s="52">
        <f>18</f>
        <v>18</v>
      </c>
      <c r="H14" s="51">
        <f>16+1</f>
        <v>17</v>
      </c>
      <c r="I14" s="51">
        <f>16+1</f>
        <v>17</v>
      </c>
      <c r="J14" s="48">
        <v>96720.13</v>
      </c>
      <c r="K14" s="48">
        <f>53973.17+18883.56</f>
        <v>72856.73</v>
      </c>
      <c r="L14" s="49">
        <f>115922.22</f>
        <v>115922.22</v>
      </c>
      <c r="M14" s="48">
        <f>J14+K14+L14</f>
        <v>285499.07999999996</v>
      </c>
      <c r="N14" s="48">
        <f>G14*J14</f>
        <v>1740962.34</v>
      </c>
      <c r="O14" s="48">
        <f>G14*K14</f>
        <v>1311421.1399999999</v>
      </c>
      <c r="P14" s="48"/>
      <c r="Q14" s="48">
        <f>G14*L14</f>
        <v>2086599.96</v>
      </c>
      <c r="R14" s="48"/>
      <c r="S14" s="48">
        <v>0</v>
      </c>
      <c r="T14" s="48">
        <f>SUM(N14:Q14)</f>
        <v>5138983.4399999995</v>
      </c>
      <c r="U14" s="48">
        <f>T14</f>
        <v>5138983.4399999995</v>
      </c>
      <c r="V14" s="48">
        <f>U14</f>
        <v>5138983.4399999995</v>
      </c>
      <c r="X14" s="44">
        <f>W13-U12</f>
        <v>-20612355.035</v>
      </c>
    </row>
    <row r="15" spans="1:29" ht="27.6" customHeight="1" x14ac:dyDescent="0.25">
      <c r="A15" s="47"/>
      <c r="B15" s="47" t="s">
        <v>316</v>
      </c>
      <c r="C15" s="318"/>
      <c r="D15" s="47" t="s">
        <v>124</v>
      </c>
      <c r="E15" s="51">
        <v>4</v>
      </c>
      <c r="F15" s="51">
        <v>1</v>
      </c>
      <c r="G15" s="51">
        <v>3</v>
      </c>
      <c r="H15" s="51">
        <f>3-3</f>
        <v>0</v>
      </c>
      <c r="I15" s="51">
        <f>3-3</f>
        <v>0</v>
      </c>
      <c r="J15" s="48">
        <v>96720.13</v>
      </c>
      <c r="K15" s="48">
        <f>53973.17+18883.56</f>
        <v>72856.73</v>
      </c>
      <c r="L15" s="49">
        <f t="shared" ref="L15:L21" si="3">115922.22</f>
        <v>115922.22</v>
      </c>
      <c r="M15" s="48">
        <f>J15+K15+L15</f>
        <v>285499.07999999996</v>
      </c>
      <c r="N15" s="48">
        <f t="shared" ref="N15:N22" si="4">G15*J15</f>
        <v>290160.39</v>
      </c>
      <c r="O15" s="48">
        <f>G15*K15</f>
        <v>218570.19</v>
      </c>
      <c r="P15" s="48"/>
      <c r="Q15" s="48">
        <f>G15*L15</f>
        <v>347766.66000000003</v>
      </c>
      <c r="R15" s="48"/>
      <c r="S15" s="48">
        <v>0</v>
      </c>
      <c r="T15" s="48">
        <f t="shared" ref="T15:T21" si="5">SUM(N15:Q15)</f>
        <v>856497.24</v>
      </c>
      <c r="U15" s="48">
        <f t="shared" ref="U15:V21" si="6">T15</f>
        <v>856497.24</v>
      </c>
      <c r="V15" s="48">
        <f t="shared" si="6"/>
        <v>856497.24</v>
      </c>
      <c r="X15" s="44"/>
    </row>
    <row r="16" spans="1:29" ht="27.6" customHeight="1" x14ac:dyDescent="0.25">
      <c r="A16" s="47"/>
      <c r="B16" s="47" t="s">
        <v>316</v>
      </c>
      <c r="C16" s="326" t="s">
        <v>426</v>
      </c>
      <c r="D16" s="47" t="s">
        <v>124</v>
      </c>
      <c r="E16" s="51">
        <v>50</v>
      </c>
      <c r="F16" s="51">
        <v>54</v>
      </c>
      <c r="G16" s="51">
        <v>52</v>
      </c>
      <c r="H16" s="51">
        <f>54</f>
        <v>54</v>
      </c>
      <c r="I16" s="51">
        <f>54</f>
        <v>54</v>
      </c>
      <c r="J16" s="48">
        <v>148485.44</v>
      </c>
      <c r="K16" s="48">
        <f>40509.87+18883.56</f>
        <v>59393.430000000008</v>
      </c>
      <c r="L16" s="49">
        <f t="shared" si="3"/>
        <v>115922.22</v>
      </c>
      <c r="M16" s="48">
        <f>J16+K16+L16</f>
        <v>323801.08999999997</v>
      </c>
      <c r="N16" s="48">
        <f>G16*J16-195554.87+219966.72-36661.12+12249.27</f>
        <v>7721242.879999999</v>
      </c>
      <c r="O16" s="48">
        <f>(G16-9)*K16+135373.09+289272.46+61639.29-65166.86+33969.65+0.31</f>
        <v>3009005.43</v>
      </c>
      <c r="P16" s="48"/>
      <c r="Q16" s="48">
        <f>G16*L16</f>
        <v>6027955.4400000004</v>
      </c>
      <c r="R16" s="48"/>
      <c r="S16" s="48">
        <v>0</v>
      </c>
      <c r="T16" s="48">
        <f t="shared" ref="T16" si="7">SUM(N16:Q16)</f>
        <v>16758203.75</v>
      </c>
      <c r="U16" s="48">
        <f t="shared" si="6"/>
        <v>16758203.75</v>
      </c>
      <c r="V16" s="48">
        <f t="shared" si="6"/>
        <v>16758203.75</v>
      </c>
      <c r="X16" s="44"/>
    </row>
    <row r="17" spans="1:33" ht="32.450000000000003" customHeight="1" x14ac:dyDescent="0.25">
      <c r="A17" s="43"/>
      <c r="B17" s="155" t="s">
        <v>317</v>
      </c>
      <c r="C17" s="257"/>
      <c r="D17" s="47" t="s">
        <v>124</v>
      </c>
      <c r="E17" s="51">
        <v>2</v>
      </c>
      <c r="F17" s="52">
        <v>2</v>
      </c>
      <c r="G17" s="51">
        <f>2-2</f>
        <v>0</v>
      </c>
      <c r="H17" s="51">
        <f>2-2</f>
        <v>0</v>
      </c>
      <c r="I17" s="51">
        <f>2-2</f>
        <v>0</v>
      </c>
      <c r="J17" s="48">
        <v>148485.44</v>
      </c>
      <c r="K17" s="48">
        <f>40509.87+18883.56</f>
        <v>59393.430000000008</v>
      </c>
      <c r="L17" s="49">
        <f t="shared" si="3"/>
        <v>115922.22</v>
      </c>
      <c r="M17" s="48">
        <f t="shared" ref="M17:M94" si="8">J17+K17+L17</f>
        <v>323801.08999999997</v>
      </c>
      <c r="N17" s="48">
        <f t="shared" si="4"/>
        <v>0</v>
      </c>
      <c r="O17" s="48">
        <f t="shared" ref="O17:O21" si="9">G17*K17</f>
        <v>0</v>
      </c>
      <c r="P17" s="48"/>
      <c r="Q17" s="48">
        <f t="shared" ref="Q17:Q21" si="10">G17*L17</f>
        <v>0</v>
      </c>
      <c r="R17" s="48"/>
      <c r="S17" s="48">
        <v>0</v>
      </c>
      <c r="T17" s="48">
        <f t="shared" si="5"/>
        <v>0</v>
      </c>
      <c r="U17" s="48">
        <f t="shared" si="6"/>
        <v>0</v>
      </c>
      <c r="V17" s="48">
        <f t="shared" si="6"/>
        <v>0</v>
      </c>
      <c r="X17" s="44"/>
    </row>
    <row r="18" spans="1:33" ht="27" customHeight="1" x14ac:dyDescent="0.25">
      <c r="A18" s="47"/>
      <c r="B18" s="47" t="s">
        <v>316</v>
      </c>
      <c r="C18" s="257"/>
      <c r="D18" s="47" t="s">
        <v>124</v>
      </c>
      <c r="E18" s="51">
        <v>10</v>
      </c>
      <c r="F18" s="51">
        <v>1</v>
      </c>
      <c r="G18" s="51">
        <f>7-7</f>
        <v>0</v>
      </c>
      <c r="H18" s="51">
        <f>7-7</f>
        <v>0</v>
      </c>
      <c r="I18" s="51">
        <f>7-7</f>
        <v>0</v>
      </c>
      <c r="J18" s="48">
        <v>196216.3</v>
      </c>
      <c r="K18" s="48">
        <f t="shared" ref="K18:K20" si="11">53973.17+18883.56*1.5</f>
        <v>82298.510000000009</v>
      </c>
      <c r="L18" s="49">
        <f t="shared" si="3"/>
        <v>115922.22</v>
      </c>
      <c r="M18" s="48">
        <f t="shared" si="8"/>
        <v>394437.03</v>
      </c>
      <c r="N18" s="48">
        <f t="shared" si="4"/>
        <v>0</v>
      </c>
      <c r="O18" s="48">
        <f>G18*K18</f>
        <v>0</v>
      </c>
      <c r="P18" s="48"/>
      <c r="Q18" s="48">
        <f t="shared" si="10"/>
        <v>0</v>
      </c>
      <c r="R18" s="48"/>
      <c r="S18" s="48">
        <v>0</v>
      </c>
      <c r="T18" s="48">
        <f t="shared" ref="T18" si="12">SUM(N18:Q18)</f>
        <v>0</v>
      </c>
      <c r="U18" s="48">
        <f t="shared" si="6"/>
        <v>0</v>
      </c>
      <c r="V18" s="48">
        <f t="shared" si="6"/>
        <v>0</v>
      </c>
      <c r="X18" s="44"/>
    </row>
    <row r="19" spans="1:33" ht="27" customHeight="1" x14ac:dyDescent="0.25">
      <c r="A19" s="47"/>
      <c r="B19" s="47" t="s">
        <v>425</v>
      </c>
      <c r="C19" s="257"/>
      <c r="D19" s="47" t="s">
        <v>124</v>
      </c>
      <c r="E19" s="51"/>
      <c r="F19" s="51"/>
      <c r="G19" s="51">
        <f>1+11</f>
        <v>12</v>
      </c>
      <c r="H19" s="51">
        <f>1+11</f>
        <v>12</v>
      </c>
      <c r="I19" s="51">
        <f>1+11</f>
        <v>12</v>
      </c>
      <c r="J19" s="48">
        <v>196216.3</v>
      </c>
      <c r="K19" s="48">
        <f t="shared" si="11"/>
        <v>82298.510000000009</v>
      </c>
      <c r="L19" s="49">
        <f t="shared" si="3"/>
        <v>115922.22</v>
      </c>
      <c r="M19" s="48">
        <f t="shared" ref="M19" si="13">J19+K19+L19</f>
        <v>394437.03</v>
      </c>
      <c r="N19" s="48">
        <f t="shared" ref="N19" si="14">G19*J19</f>
        <v>2354595.5999999996</v>
      </c>
      <c r="O19" s="48">
        <f>G19*K19</f>
        <v>987582.12000000011</v>
      </c>
      <c r="P19" s="48"/>
      <c r="Q19" s="48">
        <f t="shared" ref="Q19" si="15">G19*L19</f>
        <v>1391066.6400000001</v>
      </c>
      <c r="R19" s="48"/>
      <c r="S19" s="48">
        <v>0</v>
      </c>
      <c r="T19" s="48">
        <f t="shared" ref="T19" si="16">SUM(N19:Q19)</f>
        <v>4733244.3599999994</v>
      </c>
      <c r="U19" s="48">
        <f t="shared" ref="U19" si="17">T19</f>
        <v>4733244.3599999994</v>
      </c>
      <c r="V19" s="48">
        <f t="shared" ref="V19" si="18">U19</f>
        <v>4733244.3599999994</v>
      </c>
      <c r="X19" s="44"/>
    </row>
    <row r="20" spans="1:33" ht="28.15" customHeight="1" x14ac:dyDescent="0.25">
      <c r="A20" s="43"/>
      <c r="B20" s="47" t="s">
        <v>317</v>
      </c>
      <c r="C20" s="257"/>
      <c r="D20" s="47" t="s">
        <v>124</v>
      </c>
      <c r="E20" s="51">
        <v>2</v>
      </c>
      <c r="F20" s="51">
        <v>4</v>
      </c>
      <c r="G20" s="51">
        <f>3-3</f>
        <v>0</v>
      </c>
      <c r="H20" s="51">
        <f>3-3</f>
        <v>0</v>
      </c>
      <c r="I20" s="51">
        <f>3-3</f>
        <v>0</v>
      </c>
      <c r="J20" s="48">
        <v>196216.3</v>
      </c>
      <c r="K20" s="48">
        <f t="shared" si="11"/>
        <v>82298.510000000009</v>
      </c>
      <c r="L20" s="49">
        <f t="shared" si="3"/>
        <v>115922.22</v>
      </c>
      <c r="M20" s="48">
        <f t="shared" si="8"/>
        <v>394437.03</v>
      </c>
      <c r="N20" s="48">
        <f t="shared" si="4"/>
        <v>0</v>
      </c>
      <c r="O20" s="48">
        <f>G20*K20+5945.875+35739.93</f>
        <v>41685.805</v>
      </c>
      <c r="P20" s="48"/>
      <c r="Q20" s="48">
        <f t="shared" si="10"/>
        <v>0</v>
      </c>
      <c r="R20" s="48"/>
      <c r="S20" s="48">
        <v>0</v>
      </c>
      <c r="T20" s="48">
        <f t="shared" ref="T20" si="19">SUM(N20:Q20)</f>
        <v>41685.805</v>
      </c>
      <c r="U20" s="48">
        <f t="shared" si="6"/>
        <v>41685.805</v>
      </c>
      <c r="V20" s="48">
        <f t="shared" si="6"/>
        <v>41685.805</v>
      </c>
      <c r="X20" s="44"/>
    </row>
    <row r="21" spans="1:33" ht="28.15" customHeight="1" x14ac:dyDescent="0.25">
      <c r="A21" s="43" t="s">
        <v>493</v>
      </c>
      <c r="B21" s="47" t="s">
        <v>126</v>
      </c>
      <c r="C21" s="258"/>
      <c r="D21" s="47" t="s">
        <v>124</v>
      </c>
      <c r="E21" s="51">
        <v>1</v>
      </c>
      <c r="F21" s="51">
        <v>7</v>
      </c>
      <c r="G21" s="52">
        <v>1</v>
      </c>
      <c r="H21" s="51">
        <v>1</v>
      </c>
      <c r="I21" s="51">
        <v>1</v>
      </c>
      <c r="J21" s="48">
        <v>148485.44</v>
      </c>
      <c r="K21" s="48">
        <f>40509.87+18883.56</f>
        <v>59393.430000000008</v>
      </c>
      <c r="L21" s="49">
        <f t="shared" si="3"/>
        <v>115922.22</v>
      </c>
      <c r="M21" s="48">
        <f t="shared" si="8"/>
        <v>323801.08999999997</v>
      </c>
      <c r="N21" s="48">
        <f t="shared" si="4"/>
        <v>148485.44</v>
      </c>
      <c r="O21" s="48">
        <f t="shared" si="9"/>
        <v>59393.430000000008</v>
      </c>
      <c r="P21" s="48"/>
      <c r="Q21" s="48">
        <f t="shared" si="10"/>
        <v>115922.22</v>
      </c>
      <c r="R21" s="48"/>
      <c r="S21" s="48">
        <v>0</v>
      </c>
      <c r="T21" s="48">
        <f t="shared" si="5"/>
        <v>323801.08999999997</v>
      </c>
      <c r="U21" s="48">
        <f t="shared" si="6"/>
        <v>323801.08999999997</v>
      </c>
      <c r="V21" s="48">
        <f t="shared" si="6"/>
        <v>323801.08999999997</v>
      </c>
      <c r="X21" s="44"/>
    </row>
    <row r="22" spans="1:33" ht="64.150000000000006" customHeight="1" x14ac:dyDescent="0.25">
      <c r="A22" s="43" t="s">
        <v>127</v>
      </c>
      <c r="B22" s="47" t="s">
        <v>128</v>
      </c>
      <c r="C22" s="47" t="s">
        <v>54</v>
      </c>
      <c r="D22" s="47"/>
      <c r="E22" s="51">
        <f>E14+E15+E17+E18+E21+E20+E16</f>
        <v>81</v>
      </c>
      <c r="F22" s="52">
        <f>F14+F15+F17+F18+F21+F20+F16</f>
        <v>84</v>
      </c>
      <c r="G22" s="52">
        <f>G14+G15+G17+G18+G21+G20+G16+G19</f>
        <v>86</v>
      </c>
      <c r="H22" s="52">
        <f t="shared" ref="H22:I22" si="20">H14+H15+H17+H18+H21+H20+H16+H19</f>
        <v>84</v>
      </c>
      <c r="I22" s="52">
        <f t="shared" si="20"/>
        <v>84</v>
      </c>
      <c r="J22" s="51">
        <v>0</v>
      </c>
      <c r="K22" s="51">
        <v>0</v>
      </c>
      <c r="L22" s="49">
        <f>234381.55-115922.22+30000</f>
        <v>148459.32999999999</v>
      </c>
      <c r="M22" s="48">
        <f t="shared" si="8"/>
        <v>148459.32999999999</v>
      </c>
      <c r="N22" s="48">
        <f t="shared" si="4"/>
        <v>0</v>
      </c>
      <c r="O22" s="48">
        <f>G22*K22</f>
        <v>0</v>
      </c>
      <c r="P22" s="51">
        <f t="shared" ref="P22:S22" si="21">P14+P15+P17+P18+P21</f>
        <v>0</v>
      </c>
      <c r="Q22" s="49">
        <f>G22*L22</f>
        <v>12767502.379999999</v>
      </c>
      <c r="R22" s="51">
        <f t="shared" si="21"/>
        <v>0</v>
      </c>
      <c r="S22" s="51">
        <f t="shared" si="21"/>
        <v>0</v>
      </c>
      <c r="T22" s="49">
        <f>SUM(N22:Q22)</f>
        <v>12767502.379999999</v>
      </c>
      <c r="U22" s="48">
        <f>H22*L22</f>
        <v>12470583.719999999</v>
      </c>
      <c r="V22" s="48">
        <f>I22*L22</f>
        <v>12470583.719999999</v>
      </c>
      <c r="W22" s="51" t="e">
        <f>W14+W15+W17+W18+W21+#REF!</f>
        <v>#REF!</v>
      </c>
      <c r="X22" s="51" t="e">
        <f>X14+X15+X17+X18+X21+#REF!</f>
        <v>#REF!</v>
      </c>
      <c r="Y22" s="51" t="e">
        <f>Y14+Y15+Y17+Y18+Y21+#REF!</f>
        <v>#REF!</v>
      </c>
      <c r="Z22" s="51" t="e">
        <f>Z14+Z15+Z17+Z18+Z21+#REF!</f>
        <v>#REF!</v>
      </c>
      <c r="AA22" s="51" t="e">
        <f>AA14+AA15+AA17+AA18+AA21+#REF!</f>
        <v>#REF!</v>
      </c>
      <c r="AB22" s="51" t="e">
        <f>AB14+AB15+AB17+AB18+AB21+#REF!</f>
        <v>#REF!</v>
      </c>
      <c r="AC22" s="51" t="e">
        <f>AC14+AC15+AC17+AC18+AC21+#REF!</f>
        <v>#REF!</v>
      </c>
    </row>
    <row r="23" spans="1:33" ht="25.9" customHeight="1" x14ac:dyDescent="0.25">
      <c r="A23" s="47"/>
      <c r="B23" s="47" t="s">
        <v>128</v>
      </c>
      <c r="C23" s="47" t="s">
        <v>129</v>
      </c>
      <c r="D23" s="47"/>
      <c r="E23" s="51"/>
      <c r="F23" s="51"/>
      <c r="G23" s="52">
        <f>G22</f>
        <v>86</v>
      </c>
      <c r="H23" s="52">
        <f>H22</f>
        <v>84</v>
      </c>
      <c r="I23" s="52">
        <f>I22</f>
        <v>84</v>
      </c>
      <c r="J23" s="48">
        <v>0</v>
      </c>
      <c r="K23" s="48">
        <v>0</v>
      </c>
      <c r="L23" s="49">
        <v>20437.68</v>
      </c>
      <c r="M23" s="48">
        <f>J23+K23+L23</f>
        <v>20437.68</v>
      </c>
      <c r="N23" s="51"/>
      <c r="O23" s="48"/>
      <c r="P23" s="48"/>
      <c r="Q23" s="48"/>
      <c r="R23" s="48"/>
      <c r="S23" s="49">
        <f>G23*L23</f>
        <v>1757640.48</v>
      </c>
      <c r="T23" s="49">
        <f>S23</f>
        <v>1757640.48</v>
      </c>
      <c r="U23" s="48">
        <f>H23*L23</f>
        <v>1716765.12</v>
      </c>
      <c r="V23" s="48">
        <f>I23*L23</f>
        <v>1716765.12</v>
      </c>
    </row>
    <row r="24" spans="1:33" ht="30.6" customHeight="1" x14ac:dyDescent="0.25">
      <c r="A24" s="246" t="s">
        <v>619</v>
      </c>
      <c r="B24" s="229" t="s">
        <v>495</v>
      </c>
      <c r="C24" s="47"/>
      <c r="D24" s="37" t="s">
        <v>24</v>
      </c>
      <c r="E24" s="51"/>
      <c r="F24" s="51">
        <v>24</v>
      </c>
      <c r="G24" s="51">
        <v>24</v>
      </c>
      <c r="H24" s="51">
        <v>24</v>
      </c>
      <c r="I24" s="51">
        <v>0</v>
      </c>
      <c r="J24" s="48">
        <v>0</v>
      </c>
      <c r="K24" s="48"/>
      <c r="L24" s="49"/>
      <c r="M24" s="48">
        <f>J24+K24+L24</f>
        <v>0</v>
      </c>
      <c r="N24" s="48">
        <f>G24*J24</f>
        <v>0</v>
      </c>
      <c r="O24" s="48"/>
      <c r="P24" s="51"/>
      <c r="Q24" s="48"/>
      <c r="R24" s="48"/>
      <c r="S24" s="48"/>
      <c r="T24" s="48">
        <f>SUM(N24:Q24)</f>
        <v>0</v>
      </c>
      <c r="U24" s="48"/>
      <c r="V24" s="48"/>
    </row>
    <row r="25" spans="1:33" ht="30.6" customHeight="1" x14ac:dyDescent="0.25">
      <c r="A25" s="249"/>
      <c r="B25" s="230"/>
      <c r="C25" s="43" t="s">
        <v>610</v>
      </c>
      <c r="D25" s="298" t="s">
        <v>225</v>
      </c>
      <c r="E25" s="51">
        <v>0</v>
      </c>
      <c r="F25" s="51">
        <f>26*F24</f>
        <v>624</v>
      </c>
      <c r="G25" s="52">
        <f>16*2*G24</f>
        <v>768</v>
      </c>
      <c r="H25" s="52">
        <f>18*2*H24</f>
        <v>864</v>
      </c>
      <c r="I25" s="51">
        <v>0</v>
      </c>
      <c r="J25" s="49">
        <v>341.25</v>
      </c>
      <c r="K25" s="48"/>
      <c r="L25" s="49"/>
      <c r="M25" s="48">
        <f>J25+K25+L25</f>
        <v>341.25</v>
      </c>
      <c r="N25" s="49">
        <f>G25*J25+629.2</f>
        <v>262709.2</v>
      </c>
      <c r="O25" s="48"/>
      <c r="P25" s="51"/>
      <c r="Q25" s="48"/>
      <c r="R25" s="48"/>
      <c r="S25" s="48"/>
      <c r="T25" s="49">
        <f>SUM(N25:Q25)</f>
        <v>262709.2</v>
      </c>
      <c r="U25" s="49">
        <f>H25*J25+409.57</f>
        <v>295249.57</v>
      </c>
      <c r="V25" s="48">
        <f>I25*J25</f>
        <v>0</v>
      </c>
    </row>
    <row r="26" spans="1:33" ht="24.6" customHeight="1" x14ac:dyDescent="0.25">
      <c r="A26" s="47"/>
      <c r="B26" s="47"/>
      <c r="C26" s="162" t="s">
        <v>38</v>
      </c>
      <c r="D26" s="47"/>
      <c r="E26" s="51"/>
      <c r="F26" s="51">
        <v>24</v>
      </c>
      <c r="G26" s="52">
        <f>G24</f>
        <v>24</v>
      </c>
      <c r="H26" s="52">
        <f>H24</f>
        <v>24</v>
      </c>
      <c r="I26" s="51">
        <f>I24</f>
        <v>0</v>
      </c>
      <c r="J26" s="48" t="s">
        <v>26</v>
      </c>
      <c r="K26" s="48" t="s">
        <v>26</v>
      </c>
      <c r="L26" s="49" t="s">
        <v>26</v>
      </c>
      <c r="M26" s="48"/>
      <c r="N26" s="51"/>
      <c r="O26" s="48"/>
      <c r="P26" s="51"/>
      <c r="Q26" s="48"/>
      <c r="R26" s="48"/>
      <c r="S26" s="48"/>
      <c r="T26" s="48"/>
      <c r="U26" s="48"/>
      <c r="V26" s="48"/>
    </row>
    <row r="27" spans="1:33" ht="21" customHeight="1" x14ac:dyDescent="0.25">
      <c r="A27" s="46" t="s">
        <v>130</v>
      </c>
      <c r="B27" s="47"/>
      <c r="C27" s="47"/>
      <c r="D27" s="46"/>
      <c r="E27" s="52"/>
      <c r="F27" s="52"/>
      <c r="G27" s="52"/>
      <c r="H27" s="52"/>
      <c r="I27" s="52"/>
      <c r="J27" s="49"/>
      <c r="K27" s="48"/>
      <c r="L27" s="53"/>
      <c r="M27" s="48">
        <f t="shared" si="8"/>
        <v>0</v>
      </c>
      <c r="N27" s="49">
        <f>N28</f>
        <v>16043852.640000001</v>
      </c>
      <c r="O27" s="49">
        <f>O28</f>
        <v>6446718.2999999998</v>
      </c>
      <c r="P27" s="52">
        <f>P28</f>
        <v>0</v>
      </c>
      <c r="Q27" s="49">
        <f>(Q28+Q40)</f>
        <v>10442136.120000001</v>
      </c>
      <c r="R27" s="49">
        <f>R28</f>
        <v>0</v>
      </c>
      <c r="S27" s="49">
        <f>S41</f>
        <v>1594139.04</v>
      </c>
      <c r="T27" s="49">
        <f>T28+T40+T41</f>
        <v>34526846.100000001</v>
      </c>
      <c r="U27" s="49">
        <f t="shared" ref="U27:V27" si="22">U28+U40+U41</f>
        <v>35607024.640000001</v>
      </c>
      <c r="V27" s="49">
        <f t="shared" si="22"/>
        <v>35607024.640000001</v>
      </c>
      <c r="W27" s="38">
        <v>6438122.5499999998</v>
      </c>
      <c r="X27" s="44">
        <f>W27-Q27</f>
        <v>-4004013.5700000012</v>
      </c>
      <c r="Y27" s="38">
        <f>X27/108</f>
        <v>-37074.199722222234</v>
      </c>
      <c r="AA27" s="38">
        <v>6003686.5499999998</v>
      </c>
      <c r="AB27" s="44">
        <f>AA27-Q27</f>
        <v>-4438449.5700000012</v>
      </c>
      <c r="AC27" s="38">
        <f>AB27/I40</f>
        <v>-52217.053764705895</v>
      </c>
    </row>
    <row r="28" spans="1:33" ht="85.5" x14ac:dyDescent="0.25">
      <c r="A28" s="43" t="s">
        <v>121</v>
      </c>
      <c r="B28" s="41" t="s">
        <v>122</v>
      </c>
      <c r="C28" s="41"/>
      <c r="D28" s="47"/>
      <c r="E28" s="51"/>
      <c r="F28" s="51"/>
      <c r="G28" s="51"/>
      <c r="H28" s="51"/>
      <c r="I28" s="51"/>
      <c r="J28" s="48"/>
      <c r="K28" s="48"/>
      <c r="L28" s="48"/>
      <c r="M28" s="48"/>
      <c r="N28" s="48">
        <f>SUM(N29:N39)</f>
        <v>16043852.640000001</v>
      </c>
      <c r="O28" s="48">
        <f t="shared" ref="O28:V28" si="23">SUM(O29:O39)</f>
        <v>6446718.2999999998</v>
      </c>
      <c r="P28" s="48">
        <f t="shared" si="23"/>
        <v>0</v>
      </c>
      <c r="Q28" s="49">
        <f>SUM(Q29:Q39)</f>
        <v>5644273.4399999995</v>
      </c>
      <c r="R28" s="48">
        <f t="shared" si="23"/>
        <v>0</v>
      </c>
      <c r="S28" s="48">
        <f t="shared" si="23"/>
        <v>0</v>
      </c>
      <c r="T28" s="49">
        <f t="shared" si="23"/>
        <v>28134844.380000003</v>
      </c>
      <c r="U28" s="48">
        <f>SUM(U29:U39)</f>
        <v>28641381.739999998</v>
      </c>
      <c r="V28" s="48">
        <f t="shared" si="23"/>
        <v>28641381.739999998</v>
      </c>
      <c r="W28" s="44">
        <v>18835786.280000001</v>
      </c>
      <c r="Y28" s="44"/>
      <c r="AA28" s="44"/>
      <c r="AE28" s="44">
        <v>9163178.5700000003</v>
      </c>
      <c r="AF28" s="44">
        <v>9360490.3800000008</v>
      </c>
      <c r="AG28" s="199">
        <f>AE28/AF28</f>
        <v>0.97892078278061323</v>
      </c>
    </row>
    <row r="29" spans="1:33" ht="40.15" customHeight="1" x14ac:dyDescent="0.25">
      <c r="A29" s="43"/>
      <c r="B29" s="47" t="s">
        <v>123</v>
      </c>
      <c r="C29" s="246" t="s">
        <v>447</v>
      </c>
      <c r="D29" s="47" t="s">
        <v>124</v>
      </c>
      <c r="E29" s="51">
        <v>0</v>
      </c>
      <c r="F29" s="51">
        <v>12</v>
      </c>
      <c r="G29" s="51">
        <v>0</v>
      </c>
      <c r="H29" s="51">
        <v>0</v>
      </c>
      <c r="I29" s="51">
        <v>0</v>
      </c>
      <c r="J29" s="48">
        <v>86493.99</v>
      </c>
      <c r="K29" s="48">
        <f>46867.01+13060.92</f>
        <v>59927.93</v>
      </c>
      <c r="L29" s="49">
        <v>72362.48</v>
      </c>
      <c r="M29" s="48">
        <f t="shared" si="8"/>
        <v>218784.40000000002</v>
      </c>
      <c r="N29" s="48">
        <f>G29*J29</f>
        <v>0</v>
      </c>
      <c r="O29" s="48">
        <f>G29*K29</f>
        <v>0</v>
      </c>
      <c r="P29" s="51"/>
      <c r="Q29" s="48">
        <f t="shared" ref="Q29:Q39" si="24">G29*L29</f>
        <v>0</v>
      </c>
      <c r="R29" s="48"/>
      <c r="S29" s="48"/>
      <c r="T29" s="48">
        <f t="shared" ref="T29:T36" si="25">SUM(N29:Q29)</f>
        <v>0</v>
      </c>
      <c r="U29" s="48">
        <f>T29</f>
        <v>0</v>
      </c>
      <c r="V29" s="48">
        <f>U29</f>
        <v>0</v>
      </c>
      <c r="X29" s="44">
        <f>W28-U27</f>
        <v>-16771238.359999999</v>
      </c>
      <c r="AE29" s="44"/>
      <c r="AF29" s="44">
        <f>AF28*AG28</f>
        <v>9163178.5700000003</v>
      </c>
      <c r="AG29" s="44"/>
    </row>
    <row r="30" spans="1:33" ht="63" customHeight="1" x14ac:dyDescent="0.25">
      <c r="A30" s="43"/>
      <c r="B30" s="47" t="s">
        <v>316</v>
      </c>
      <c r="C30" s="318"/>
      <c r="D30" s="47" t="s">
        <v>124</v>
      </c>
      <c r="E30" s="51">
        <v>0</v>
      </c>
      <c r="F30" s="51">
        <v>1</v>
      </c>
      <c r="G30" s="51">
        <v>0</v>
      </c>
      <c r="H30" s="51">
        <v>0</v>
      </c>
      <c r="I30" s="51">
        <v>0</v>
      </c>
      <c r="J30" s="48">
        <v>86493.99</v>
      </c>
      <c r="K30" s="48">
        <f>46867.01+13060.92</f>
        <v>59927.93</v>
      </c>
      <c r="L30" s="49">
        <v>72362.48</v>
      </c>
      <c r="M30" s="48">
        <f t="shared" si="8"/>
        <v>218784.40000000002</v>
      </c>
      <c r="N30" s="48">
        <f t="shared" ref="N30:N39" si="26">G30*J30</f>
        <v>0</v>
      </c>
      <c r="O30" s="48">
        <f t="shared" ref="O30:O39" si="27">G30*K30</f>
        <v>0</v>
      </c>
      <c r="P30" s="51"/>
      <c r="Q30" s="48">
        <f t="shared" si="24"/>
        <v>0</v>
      </c>
      <c r="R30" s="48"/>
      <c r="S30" s="48"/>
      <c r="T30" s="48">
        <f t="shared" si="25"/>
        <v>0</v>
      </c>
      <c r="U30" s="48">
        <v>0</v>
      </c>
      <c r="V30" s="48">
        <f>U30</f>
        <v>0</v>
      </c>
      <c r="AE30" s="44"/>
      <c r="AF30" s="44"/>
      <c r="AG30" s="44"/>
    </row>
    <row r="31" spans="1:33" ht="74.45" customHeight="1" x14ac:dyDescent="0.25">
      <c r="A31" s="43"/>
      <c r="B31" s="47" t="s">
        <v>316</v>
      </c>
      <c r="C31" s="246" t="s">
        <v>284</v>
      </c>
      <c r="D31" s="47" t="s">
        <v>124</v>
      </c>
      <c r="E31" s="51">
        <v>0</v>
      </c>
      <c r="F31" s="51">
        <v>0</v>
      </c>
      <c r="G31" s="51">
        <f t="shared" ref="G31" si="28">((E31*8)+(F31*4))/12</f>
        <v>0</v>
      </c>
      <c r="H31" s="51">
        <f>7-7</f>
        <v>0</v>
      </c>
      <c r="I31" s="51">
        <f>7-7</f>
        <v>0</v>
      </c>
      <c r="J31" s="48">
        <v>245948.56</v>
      </c>
      <c r="K31" s="48">
        <f>70240.51+13060.92*2</f>
        <v>96362.349999999991</v>
      </c>
      <c r="L31" s="49">
        <v>72362.48</v>
      </c>
      <c r="M31" s="48">
        <f t="shared" si="8"/>
        <v>414673.38999999996</v>
      </c>
      <c r="N31" s="48">
        <f t="shared" si="26"/>
        <v>0</v>
      </c>
      <c r="O31" s="48">
        <f t="shared" si="27"/>
        <v>0</v>
      </c>
      <c r="P31" s="51"/>
      <c r="Q31" s="48">
        <f t="shared" si="24"/>
        <v>0</v>
      </c>
      <c r="R31" s="48"/>
      <c r="S31" s="48"/>
      <c r="T31" s="48">
        <f t="shared" si="25"/>
        <v>0</v>
      </c>
      <c r="U31" s="48">
        <f>T31</f>
        <v>0</v>
      </c>
      <c r="V31" s="48">
        <f>U31</f>
        <v>0</v>
      </c>
      <c r="AE31" s="44"/>
      <c r="AF31" s="44"/>
      <c r="AG31" s="44"/>
    </row>
    <row r="32" spans="1:33" ht="31.15" customHeight="1" x14ac:dyDescent="0.25">
      <c r="A32" s="43"/>
      <c r="B32" s="47" t="s">
        <v>318</v>
      </c>
      <c r="C32" s="318"/>
      <c r="D32" s="47" t="s">
        <v>124</v>
      </c>
      <c r="E32" s="51">
        <v>43</v>
      </c>
      <c r="F32" s="51">
        <v>42</v>
      </c>
      <c r="G32" s="51">
        <v>45</v>
      </c>
      <c r="H32" s="51">
        <f>42+3</f>
        <v>45</v>
      </c>
      <c r="I32" s="51">
        <f>42+3</f>
        <v>45</v>
      </c>
      <c r="J32" s="48">
        <v>245948.56</v>
      </c>
      <c r="K32" s="48">
        <f>64533.72+13925.43*2</f>
        <v>92384.58</v>
      </c>
      <c r="L32" s="49">
        <v>72362.48</v>
      </c>
      <c r="M32" s="48">
        <f t="shared" si="8"/>
        <v>410695.62</v>
      </c>
      <c r="N32" s="48">
        <f>G32*J32</f>
        <v>11067685.199999999</v>
      </c>
      <c r="O32" s="48">
        <f>G32*K32-31535.55</f>
        <v>4125770.5500000003</v>
      </c>
      <c r="P32" s="51"/>
      <c r="Q32" s="48">
        <f t="shared" si="24"/>
        <v>3256311.5999999996</v>
      </c>
      <c r="R32" s="48"/>
      <c r="S32" s="48"/>
      <c r="T32" s="48">
        <f t="shared" si="25"/>
        <v>18449767.350000001</v>
      </c>
      <c r="U32" s="48">
        <f>(N32+O32)+(H32*L32)</f>
        <v>18449767.350000001</v>
      </c>
      <c r="V32" s="48">
        <f>(N32+O32)+(I32*L32)</f>
        <v>18449767.350000001</v>
      </c>
      <c r="AE32" s="44"/>
      <c r="AF32" s="44"/>
      <c r="AG32" s="44"/>
    </row>
    <row r="33" spans="1:33" ht="31.15" customHeight="1" x14ac:dyDescent="0.25">
      <c r="A33" s="43" t="s">
        <v>493</v>
      </c>
      <c r="B33" s="47" t="s">
        <v>318</v>
      </c>
      <c r="C33" s="246" t="s">
        <v>448</v>
      </c>
      <c r="D33" s="47" t="s">
        <v>124</v>
      </c>
      <c r="E33" s="51">
        <v>1</v>
      </c>
      <c r="F33" s="51">
        <f>1</f>
        <v>1</v>
      </c>
      <c r="G33" s="52">
        <v>1</v>
      </c>
      <c r="H33" s="51">
        <f>1-1</f>
        <v>0</v>
      </c>
      <c r="I33" s="51">
        <f>1-1</f>
        <v>0</v>
      </c>
      <c r="J33" s="48">
        <v>132713.06</v>
      </c>
      <c r="K33" s="48">
        <f>32326.86+13925.43</f>
        <v>46252.29</v>
      </c>
      <c r="L33" s="49">
        <v>72362.48</v>
      </c>
      <c r="M33" s="48">
        <f t="shared" si="8"/>
        <v>251327.83000000002</v>
      </c>
      <c r="N33" s="48">
        <f t="shared" si="26"/>
        <v>132713.06</v>
      </c>
      <c r="O33" s="48">
        <f>G33*K33+31535.55</f>
        <v>77787.839999999997</v>
      </c>
      <c r="P33" s="51"/>
      <c r="Q33" s="48">
        <f t="shared" si="24"/>
        <v>72362.48</v>
      </c>
      <c r="R33" s="48"/>
      <c r="S33" s="48"/>
      <c r="T33" s="48">
        <f t="shared" si="25"/>
        <v>282863.38</v>
      </c>
      <c r="U33" s="48">
        <f>(N33+O33)+(H33*L33)</f>
        <v>210500.9</v>
      </c>
      <c r="V33" s="48">
        <f>(N33+O33)+(I33*L33)</f>
        <v>210500.9</v>
      </c>
      <c r="AE33" s="44"/>
      <c r="AF33" s="44"/>
      <c r="AG33" s="44"/>
    </row>
    <row r="34" spans="1:33" ht="30" customHeight="1" x14ac:dyDescent="0.25">
      <c r="A34" s="43"/>
      <c r="B34" s="47" t="s">
        <v>314</v>
      </c>
      <c r="C34" s="321"/>
      <c r="D34" s="47"/>
      <c r="E34" s="51">
        <v>1</v>
      </c>
      <c r="F34" s="51">
        <v>1</v>
      </c>
      <c r="G34" s="51">
        <v>2</v>
      </c>
      <c r="H34" s="51">
        <v>0</v>
      </c>
      <c r="I34" s="51">
        <f>1-1</f>
        <v>0</v>
      </c>
      <c r="J34" s="48">
        <v>132713.06</v>
      </c>
      <c r="K34" s="48">
        <f>32326.86+13925.43+257654.9</f>
        <v>303907.19</v>
      </c>
      <c r="L34" s="49">
        <v>72362.48</v>
      </c>
      <c r="M34" s="48">
        <f t="shared" ref="M34" si="29">J34+K34+L34</f>
        <v>508982.73</v>
      </c>
      <c r="N34" s="48">
        <f t="shared" ref="N34" si="30">G34*J34</f>
        <v>265426.12</v>
      </c>
      <c r="O34" s="48">
        <f>G34*K34</f>
        <v>607814.38</v>
      </c>
      <c r="P34" s="51"/>
      <c r="Q34" s="48">
        <f t="shared" ref="Q34" si="31">G34*L34</f>
        <v>144724.96</v>
      </c>
      <c r="R34" s="48"/>
      <c r="S34" s="48"/>
      <c r="T34" s="48">
        <f t="shared" ref="T34" si="32">SUM(N34:Q34)</f>
        <v>1017965.46</v>
      </c>
      <c r="U34" s="48">
        <f>(N34+O34)+(H34*L34)</f>
        <v>873240.5</v>
      </c>
      <c r="V34" s="48">
        <f>(N34+O34)+(I34*L34)</f>
        <v>873240.5</v>
      </c>
      <c r="AE34" s="44"/>
      <c r="AF34" s="44"/>
      <c r="AG34" s="44"/>
    </row>
    <row r="35" spans="1:33" ht="35.450000000000003" customHeight="1" x14ac:dyDescent="0.25">
      <c r="A35" s="43"/>
      <c r="B35" s="47" t="s">
        <v>123</v>
      </c>
      <c r="C35" s="321"/>
      <c r="D35" s="47" t="s">
        <v>124</v>
      </c>
      <c r="E35" s="51">
        <v>18</v>
      </c>
      <c r="F35" s="51">
        <v>4</v>
      </c>
      <c r="G35" s="51">
        <f>15-1</f>
        <v>14</v>
      </c>
      <c r="H35" s="51">
        <v>20</v>
      </c>
      <c r="I35" s="51">
        <v>20</v>
      </c>
      <c r="J35" s="48">
        <v>175329.95</v>
      </c>
      <c r="K35" s="48">
        <f>43062.49+13925.43*1.5</f>
        <v>63950.634999999995</v>
      </c>
      <c r="L35" s="49">
        <v>72362.48</v>
      </c>
      <c r="M35" s="48">
        <f t="shared" ref="M35" si="33">J35+K35+L35</f>
        <v>311643.065</v>
      </c>
      <c r="N35" s="48">
        <f t="shared" ref="N35" si="34">G35*J35</f>
        <v>2454619.3000000003</v>
      </c>
      <c r="O35" s="48">
        <f>G35*K35</f>
        <v>895308.8899999999</v>
      </c>
      <c r="P35" s="51"/>
      <c r="Q35" s="48">
        <f>G35*L35</f>
        <v>1013074.72</v>
      </c>
      <c r="R35" s="48"/>
      <c r="S35" s="48"/>
      <c r="T35" s="48">
        <f t="shared" ref="T35" si="35">SUM(N35:Q35)</f>
        <v>4363002.91</v>
      </c>
      <c r="U35" s="48">
        <f>(N35+O35)+(H35*L35)</f>
        <v>4797177.79</v>
      </c>
      <c r="V35" s="48">
        <f>(N35+O35)+(I35*L35)</f>
        <v>4797177.79</v>
      </c>
      <c r="AE35" s="44"/>
      <c r="AF35" s="44"/>
      <c r="AG35" s="44"/>
    </row>
    <row r="36" spans="1:33" ht="37.9" customHeight="1" x14ac:dyDescent="0.25">
      <c r="A36" s="43"/>
      <c r="B36" s="43" t="s">
        <v>338</v>
      </c>
      <c r="C36" s="321"/>
      <c r="D36" s="47" t="s">
        <v>124</v>
      </c>
      <c r="E36" s="51">
        <f>16-1</f>
        <v>15</v>
      </c>
      <c r="F36" s="51">
        <v>13</v>
      </c>
      <c r="G36" s="51">
        <v>16</v>
      </c>
      <c r="H36" s="51">
        <v>20</v>
      </c>
      <c r="I36" s="51">
        <v>20</v>
      </c>
      <c r="J36" s="48">
        <v>132713.06</v>
      </c>
      <c r="K36" s="48">
        <f>32326.86+13925.43</f>
        <v>46252.29</v>
      </c>
      <c r="L36" s="49">
        <v>72362.48</v>
      </c>
      <c r="M36" s="48">
        <f t="shared" si="8"/>
        <v>251327.83000000002</v>
      </c>
      <c r="N36" s="48">
        <f t="shared" si="26"/>
        <v>2123408.96</v>
      </c>
      <c r="O36" s="48">
        <f t="shared" si="27"/>
        <v>740036.64</v>
      </c>
      <c r="P36" s="51"/>
      <c r="Q36" s="48">
        <f t="shared" si="24"/>
        <v>1157799.68</v>
      </c>
      <c r="R36" s="48"/>
      <c r="S36" s="48"/>
      <c r="T36" s="48">
        <f t="shared" si="25"/>
        <v>4021245.2800000003</v>
      </c>
      <c r="U36" s="48">
        <f>(N36+O36)+(H36*L36)</f>
        <v>4310695.2</v>
      </c>
      <c r="V36" s="48">
        <f>U36</f>
        <v>4310695.2</v>
      </c>
    </row>
    <row r="37" spans="1:33" ht="25.9" customHeight="1" x14ac:dyDescent="0.25">
      <c r="A37" s="43"/>
      <c r="B37" s="41"/>
      <c r="C37" s="327"/>
      <c r="D37" s="47" t="s">
        <v>124</v>
      </c>
      <c r="E37" s="51"/>
      <c r="F37" s="51"/>
      <c r="G37" s="51">
        <v>0</v>
      </c>
      <c r="H37" s="51"/>
      <c r="I37" s="51"/>
      <c r="J37" s="48"/>
      <c r="K37" s="48">
        <f t="shared" ref="K37" si="36">25496.5+10442.34</f>
        <v>35938.839999999997</v>
      </c>
      <c r="L37" s="49">
        <v>72362.48</v>
      </c>
      <c r="M37" s="48">
        <f t="shared" si="8"/>
        <v>108301.31999999999</v>
      </c>
      <c r="N37" s="48">
        <f t="shared" si="26"/>
        <v>0</v>
      </c>
      <c r="O37" s="48">
        <f t="shared" si="27"/>
        <v>0</v>
      </c>
      <c r="P37" s="51"/>
      <c r="Q37" s="48">
        <f t="shared" si="24"/>
        <v>0</v>
      </c>
      <c r="R37" s="48"/>
      <c r="S37" s="48"/>
      <c r="T37" s="48">
        <f t="shared" ref="T37:T39" si="37">SUM(N37:Q37)</f>
        <v>0</v>
      </c>
      <c r="U37" s="48">
        <f t="shared" ref="U37:U39" si="38">(N37+O37)+(H37*L37)</f>
        <v>0</v>
      </c>
      <c r="V37" s="48">
        <f t="shared" ref="V37:V38" si="39">U37</f>
        <v>0</v>
      </c>
    </row>
    <row r="38" spans="1:33" ht="30" customHeight="1" x14ac:dyDescent="0.25">
      <c r="A38" s="43"/>
      <c r="B38" s="47" t="s">
        <v>318</v>
      </c>
      <c r="C38" s="327"/>
      <c r="D38" s="47" t="s">
        <v>124</v>
      </c>
      <c r="E38" s="51">
        <v>0</v>
      </c>
      <c r="F38" s="51">
        <f>3-3</f>
        <v>0</v>
      </c>
      <c r="G38" s="51">
        <v>0</v>
      </c>
      <c r="H38" s="51">
        <f>3-3</f>
        <v>0</v>
      </c>
      <c r="I38" s="51">
        <f>3-3</f>
        <v>0</v>
      </c>
      <c r="J38" s="48">
        <v>132713.06</v>
      </c>
      <c r="K38" s="48">
        <f>25496.5+10788.57+203012.01</f>
        <v>239297.08000000002</v>
      </c>
      <c r="L38" s="49">
        <v>72362.48</v>
      </c>
      <c r="M38" s="48">
        <f t="shared" si="8"/>
        <v>444372.62</v>
      </c>
      <c r="N38" s="48">
        <f t="shared" si="26"/>
        <v>0</v>
      </c>
      <c r="O38" s="48">
        <f>G38*K38</f>
        <v>0</v>
      </c>
      <c r="P38" s="51"/>
      <c r="Q38" s="48">
        <f t="shared" si="24"/>
        <v>0</v>
      </c>
      <c r="R38" s="48"/>
      <c r="S38" s="48"/>
      <c r="T38" s="48">
        <f t="shared" si="37"/>
        <v>0</v>
      </c>
      <c r="U38" s="48">
        <f t="shared" si="38"/>
        <v>0</v>
      </c>
      <c r="V38" s="48">
        <f t="shared" si="39"/>
        <v>0</v>
      </c>
    </row>
    <row r="39" spans="1:33" ht="28.15" customHeight="1" x14ac:dyDescent="0.25">
      <c r="A39" s="43"/>
      <c r="B39" s="47" t="s">
        <v>318</v>
      </c>
      <c r="C39" s="328"/>
      <c r="D39" s="47" t="s">
        <v>124</v>
      </c>
      <c r="E39" s="51">
        <v>0</v>
      </c>
      <c r="F39" s="51">
        <v>0</v>
      </c>
      <c r="G39" s="52">
        <v>0</v>
      </c>
      <c r="H39" s="52">
        <v>0</v>
      </c>
      <c r="I39" s="52">
        <v>0</v>
      </c>
      <c r="J39" s="48">
        <v>132713.06</v>
      </c>
      <c r="K39" s="48">
        <f>25496.5+10788.57</f>
        <v>36285.07</v>
      </c>
      <c r="L39" s="49">
        <v>72362.48</v>
      </c>
      <c r="M39" s="48">
        <f t="shared" si="8"/>
        <v>241360.61</v>
      </c>
      <c r="N39" s="48">
        <f t="shared" si="26"/>
        <v>0</v>
      </c>
      <c r="O39" s="48">
        <f t="shared" si="27"/>
        <v>0</v>
      </c>
      <c r="P39" s="51"/>
      <c r="Q39" s="48">
        <f t="shared" si="24"/>
        <v>0</v>
      </c>
      <c r="R39" s="48"/>
      <c r="S39" s="48"/>
      <c r="T39" s="48">
        <f t="shared" si="37"/>
        <v>0</v>
      </c>
      <c r="U39" s="48">
        <f t="shared" si="38"/>
        <v>0</v>
      </c>
      <c r="V39" s="49">
        <v>0</v>
      </c>
    </row>
    <row r="40" spans="1:33" ht="63.6" customHeight="1" x14ac:dyDescent="0.25">
      <c r="A40" s="43" t="s">
        <v>127</v>
      </c>
      <c r="B40" s="47" t="s">
        <v>131</v>
      </c>
      <c r="C40" s="47" t="s">
        <v>54</v>
      </c>
      <c r="D40" s="47" t="s">
        <v>124</v>
      </c>
      <c r="E40" s="52">
        <f>E29+E30+E31+E32+E36+E39+E38+E33+E35+E34</f>
        <v>78</v>
      </c>
      <c r="F40" s="52">
        <f t="shared" ref="F40:I40" si="40">F29+F30+F31+F32+F36+F39+F38+F33+F35+F34</f>
        <v>74</v>
      </c>
      <c r="G40" s="52">
        <f>G29+G30+G31+G32+G36+G39+G38+G33+G35+G34</f>
        <v>78</v>
      </c>
      <c r="H40" s="52">
        <f t="shared" si="40"/>
        <v>85</v>
      </c>
      <c r="I40" s="52">
        <f t="shared" si="40"/>
        <v>85</v>
      </c>
      <c r="J40" s="48">
        <v>0</v>
      </c>
      <c r="K40" s="48">
        <v>0</v>
      </c>
      <c r="L40" s="49">
        <f>133873.54-72362.48</f>
        <v>61511.060000000012</v>
      </c>
      <c r="M40" s="48">
        <f>J40+K40+L40</f>
        <v>61511.060000000012</v>
      </c>
      <c r="N40" s="48">
        <f>G40*J40</f>
        <v>0</v>
      </c>
      <c r="O40" s="48">
        <f>G40*K40</f>
        <v>0</v>
      </c>
      <c r="P40" s="48">
        <f t="shared" ref="P40:R40" si="41">P29+P30+P31+P32+P36+P39+P38</f>
        <v>0</v>
      </c>
      <c r="Q40" s="49">
        <f>G40*L40</f>
        <v>4797862.6800000006</v>
      </c>
      <c r="R40" s="52">
        <f t="shared" si="41"/>
        <v>0</v>
      </c>
      <c r="S40" s="52"/>
      <c r="T40" s="49">
        <f>SUM(N40:Q40)</f>
        <v>4797862.6800000006</v>
      </c>
      <c r="U40" s="49">
        <f>H40*L40</f>
        <v>5228440.1000000015</v>
      </c>
      <c r="V40" s="49">
        <f>I40*L40</f>
        <v>5228440.1000000015</v>
      </c>
    </row>
    <row r="41" spans="1:33" ht="27" customHeight="1" x14ac:dyDescent="0.25">
      <c r="A41" s="47" t="s">
        <v>446</v>
      </c>
      <c r="B41" s="47" t="s">
        <v>131</v>
      </c>
      <c r="C41" s="47" t="s">
        <v>129</v>
      </c>
      <c r="D41" s="47"/>
      <c r="E41" s="51"/>
      <c r="F41" s="51"/>
      <c r="G41" s="52">
        <f>G40-G33+1</f>
        <v>78</v>
      </c>
      <c r="H41" s="52">
        <f>H40-H33</f>
        <v>85</v>
      </c>
      <c r="I41" s="52">
        <f>I40-I39</f>
        <v>85</v>
      </c>
      <c r="J41" s="48"/>
      <c r="K41" s="48"/>
      <c r="L41" s="49">
        <f>2542*12*0.67</f>
        <v>20437.68</v>
      </c>
      <c r="M41" s="48">
        <f t="shared" si="8"/>
        <v>20437.68</v>
      </c>
      <c r="N41" s="51"/>
      <c r="O41" s="48"/>
      <c r="P41" s="51"/>
      <c r="Q41" s="48">
        <f>G41*L41</f>
        <v>1594139.04</v>
      </c>
      <c r="R41" s="48"/>
      <c r="S41" s="49">
        <f>G41*L41</f>
        <v>1594139.04</v>
      </c>
      <c r="T41" s="49">
        <f>S41</f>
        <v>1594139.04</v>
      </c>
      <c r="U41" s="49">
        <f>H41*L41</f>
        <v>1737202.8</v>
      </c>
      <c r="V41" s="49">
        <f>I41*L41</f>
        <v>1737202.8</v>
      </c>
    </row>
    <row r="42" spans="1:33" ht="22.15" customHeight="1" x14ac:dyDescent="0.25">
      <c r="A42" s="46" t="s">
        <v>135</v>
      </c>
      <c r="B42" s="46"/>
      <c r="C42" s="46"/>
      <c r="D42" s="46"/>
      <c r="E42" s="52"/>
      <c r="F42" s="52"/>
      <c r="G42" s="52"/>
      <c r="H42" s="52"/>
      <c r="I42" s="52"/>
      <c r="J42" s="49"/>
      <c r="K42" s="48"/>
      <c r="L42" s="49"/>
      <c r="M42" s="48">
        <f t="shared" si="8"/>
        <v>0</v>
      </c>
      <c r="N42" s="49">
        <f>N43</f>
        <v>16622806.780000001</v>
      </c>
      <c r="O42" s="49">
        <f>O43</f>
        <v>6435810.2600000007</v>
      </c>
      <c r="P42" s="49"/>
      <c r="Q42" s="49">
        <f>Q43+Q54</f>
        <v>12851858.84</v>
      </c>
      <c r="R42" s="49"/>
      <c r="S42" s="49">
        <f>S55</f>
        <v>1962017.28</v>
      </c>
      <c r="T42" s="49">
        <f>T43+T54+T55</f>
        <v>37872493.160000004</v>
      </c>
      <c r="U42" s="49">
        <f>U43+U54+U55</f>
        <v>37872494.160000004</v>
      </c>
      <c r="V42" s="49">
        <f>V43+V54+V55</f>
        <v>37872494.160000004</v>
      </c>
      <c r="W42" s="44">
        <v>10231531.529999999</v>
      </c>
      <c r="X42" s="44">
        <f>W42-Q42</f>
        <v>-2620327.3100000005</v>
      </c>
      <c r="Y42" s="38">
        <f>X42/G54</f>
        <v>-27295.07614583334</v>
      </c>
      <c r="AA42" s="38">
        <v>10354392.529999999</v>
      </c>
      <c r="AB42" s="44">
        <f>AA42-Q42</f>
        <v>-2497466.3100000005</v>
      </c>
      <c r="AC42" s="38">
        <f>AB42/I54</f>
        <v>-25747.075360824747</v>
      </c>
    </row>
    <row r="43" spans="1:33" ht="70.900000000000006" customHeight="1" x14ac:dyDescent="0.25">
      <c r="A43" s="43" t="s">
        <v>121</v>
      </c>
      <c r="B43" s="41" t="s">
        <v>122</v>
      </c>
      <c r="C43" s="41"/>
      <c r="D43" s="47"/>
      <c r="E43" s="51"/>
      <c r="F43" s="51"/>
      <c r="G43" s="51"/>
      <c r="H43" s="51"/>
      <c r="I43" s="51"/>
      <c r="J43" s="48"/>
      <c r="K43" s="48"/>
      <c r="L43" s="48"/>
      <c r="M43" s="48"/>
      <c r="N43" s="48">
        <f>SUM(N44:N53)</f>
        <v>16622806.780000001</v>
      </c>
      <c r="O43" s="48">
        <f>SUM(O44:O53)</f>
        <v>6435810.2600000007</v>
      </c>
      <c r="P43" s="51"/>
      <c r="Q43" s="49">
        <f>SUM(Q44:Q50)-1</f>
        <v>6946797.0800000001</v>
      </c>
      <c r="R43" s="48"/>
      <c r="S43" s="48"/>
      <c r="T43" s="49">
        <f>SUM(T44:T53)-1</f>
        <v>30005414.120000001</v>
      </c>
      <c r="U43" s="48">
        <f>SUM(U44:U53)</f>
        <v>30005415.120000001</v>
      </c>
      <c r="V43" s="48">
        <f>SUM(V44:V53)</f>
        <v>30005415.120000001</v>
      </c>
      <c r="W43" s="44">
        <v>29143419.530000001</v>
      </c>
      <c r="X43" s="44"/>
      <c r="AA43" s="44">
        <f>29143419.53+U55</f>
        <v>31105436.810000002</v>
      </c>
      <c r="AB43" s="44">
        <f>U42-AA43</f>
        <v>6767057.3500000015</v>
      </c>
    </row>
    <row r="44" spans="1:33" ht="45" customHeight="1" x14ac:dyDescent="0.25">
      <c r="A44" s="43"/>
      <c r="B44" s="47" t="s">
        <v>123</v>
      </c>
      <c r="C44" s="246" t="s">
        <v>285</v>
      </c>
      <c r="D44" s="47" t="s">
        <v>124</v>
      </c>
      <c r="E44" s="51">
        <f>16+1</f>
        <v>17</v>
      </c>
      <c r="F44" s="51">
        <v>12</v>
      </c>
      <c r="G44" s="51">
        <v>13</v>
      </c>
      <c r="H44" s="51">
        <v>13</v>
      </c>
      <c r="I44" s="51">
        <v>13</v>
      </c>
      <c r="J44" s="48">
        <v>86493.99</v>
      </c>
      <c r="K44" s="48">
        <f>43062.49+13925.43</f>
        <v>56987.92</v>
      </c>
      <c r="L44" s="49">
        <v>72362.48</v>
      </c>
      <c r="M44" s="48">
        <f t="shared" si="8"/>
        <v>215844.39</v>
      </c>
      <c r="N44" s="48">
        <f t="shared" ref="N44:N50" si="42">G44*J44</f>
        <v>1124421.8700000001</v>
      </c>
      <c r="O44" s="48">
        <f>G44*K44</f>
        <v>740842.96</v>
      </c>
      <c r="P44" s="51"/>
      <c r="Q44" s="48">
        <f>G44*L44</f>
        <v>940712.24</v>
      </c>
      <c r="R44" s="48"/>
      <c r="S44" s="48"/>
      <c r="T44" s="48">
        <f t="shared" ref="T44:T50" si="43">SUM(N44:Q44)</f>
        <v>2805977.0700000003</v>
      </c>
      <c r="U44" s="48">
        <f t="shared" ref="U44:V54" si="44">T44</f>
        <v>2805977.0700000003</v>
      </c>
      <c r="V44" s="48">
        <f t="shared" si="44"/>
        <v>2805977.0700000003</v>
      </c>
      <c r="X44" s="44">
        <f>W43-U42</f>
        <v>-8729074.6300000027</v>
      </c>
    </row>
    <row r="45" spans="1:33" ht="55.9" customHeight="1" x14ac:dyDescent="0.25">
      <c r="A45" s="43"/>
      <c r="B45" s="47" t="s">
        <v>320</v>
      </c>
      <c r="C45" s="318"/>
      <c r="D45" s="47" t="s">
        <v>124</v>
      </c>
      <c r="E45" s="51">
        <v>1</v>
      </c>
      <c r="F45" s="51">
        <v>0</v>
      </c>
      <c r="G45" s="51">
        <v>1</v>
      </c>
      <c r="H45" s="51">
        <v>0</v>
      </c>
      <c r="I45" s="51">
        <v>0</v>
      </c>
      <c r="J45" s="48">
        <v>86493.99</v>
      </c>
      <c r="K45" s="48">
        <f>43062.49+13925.43</f>
        <v>56987.92</v>
      </c>
      <c r="L45" s="49">
        <v>72362.48</v>
      </c>
      <c r="M45" s="48">
        <f t="shared" ref="M45" si="45">J45+K45+L45</f>
        <v>215844.39</v>
      </c>
      <c r="N45" s="48">
        <f t="shared" si="42"/>
        <v>86493.99</v>
      </c>
      <c r="O45" s="48">
        <f>G45*K45</f>
        <v>56987.92</v>
      </c>
      <c r="P45" s="51"/>
      <c r="Q45" s="48">
        <f>G45*L45</f>
        <v>72362.48</v>
      </c>
      <c r="R45" s="48"/>
      <c r="S45" s="48"/>
      <c r="T45" s="48">
        <f t="shared" si="43"/>
        <v>215844.39</v>
      </c>
      <c r="U45" s="48">
        <f t="shared" ref="U45" si="46">T45</f>
        <v>215844.39</v>
      </c>
      <c r="V45" s="48">
        <f t="shared" ref="V45" si="47">U45</f>
        <v>215844.39</v>
      </c>
      <c r="X45" s="44"/>
    </row>
    <row r="46" spans="1:33" ht="36" customHeight="1" x14ac:dyDescent="0.25">
      <c r="A46" s="43" t="s">
        <v>492</v>
      </c>
      <c r="B46" s="47" t="s">
        <v>319</v>
      </c>
      <c r="C46" s="246" t="s">
        <v>427</v>
      </c>
      <c r="D46" s="47" t="s">
        <v>124</v>
      </c>
      <c r="E46" s="51">
        <f>3+1</f>
        <v>4</v>
      </c>
      <c r="F46" s="51">
        <v>5</v>
      </c>
      <c r="G46" s="52">
        <v>5</v>
      </c>
      <c r="H46" s="51">
        <v>5</v>
      </c>
      <c r="I46" s="51">
        <v>5</v>
      </c>
      <c r="J46" s="48">
        <v>245948.56</v>
      </c>
      <c r="K46" s="48">
        <f>64533.72+13925.43*2</f>
        <v>92384.58</v>
      </c>
      <c r="L46" s="49">
        <v>72362.48</v>
      </c>
      <c r="M46" s="48">
        <f t="shared" si="8"/>
        <v>410695.62</v>
      </c>
      <c r="N46" s="48">
        <f t="shared" si="42"/>
        <v>1229742.8</v>
      </c>
      <c r="O46" s="48">
        <f>G46*K46+79092.72</f>
        <v>541015.62</v>
      </c>
      <c r="P46" s="51"/>
      <c r="Q46" s="48">
        <f>G46*L46</f>
        <v>361812.39999999997</v>
      </c>
      <c r="R46" s="48"/>
      <c r="S46" s="48"/>
      <c r="T46" s="48">
        <f t="shared" si="43"/>
        <v>2132570.8199999998</v>
      </c>
      <c r="U46" s="48">
        <f t="shared" si="44"/>
        <v>2132570.8199999998</v>
      </c>
      <c r="V46" s="48">
        <f t="shared" si="44"/>
        <v>2132570.8199999998</v>
      </c>
    </row>
    <row r="47" spans="1:33" ht="69" customHeight="1" x14ac:dyDescent="0.25">
      <c r="A47" s="43"/>
      <c r="B47" s="47" t="s">
        <v>318</v>
      </c>
      <c r="C47" s="318"/>
      <c r="D47" s="47" t="s">
        <v>124</v>
      </c>
      <c r="E47" s="51">
        <v>42</v>
      </c>
      <c r="F47" s="51">
        <v>36</v>
      </c>
      <c r="G47" s="51">
        <v>35</v>
      </c>
      <c r="H47" s="51">
        <v>44</v>
      </c>
      <c r="I47" s="51">
        <v>44</v>
      </c>
      <c r="J47" s="48">
        <v>245948.56</v>
      </c>
      <c r="K47" s="48">
        <f>64533.72+13925.43*2</f>
        <v>92384.58</v>
      </c>
      <c r="L47" s="49">
        <v>72362.48</v>
      </c>
      <c r="M47" s="48">
        <f t="shared" si="8"/>
        <v>410695.62</v>
      </c>
      <c r="N47" s="48">
        <f>G47*J47</f>
        <v>8608199.5999999996</v>
      </c>
      <c r="O47" s="48">
        <f>G47*K47-79092.72+334957.17+41919.83-376877</f>
        <v>3154367.58</v>
      </c>
      <c r="P47" s="51"/>
      <c r="Q47" s="48">
        <f t="shared" ref="Q47:Q50" si="48">G47*L47</f>
        <v>2532686.7999999998</v>
      </c>
      <c r="R47" s="48"/>
      <c r="S47" s="48"/>
      <c r="T47" s="48">
        <f t="shared" si="43"/>
        <v>14295253.98</v>
      </c>
      <c r="U47" s="48">
        <f t="shared" si="44"/>
        <v>14295253.98</v>
      </c>
      <c r="V47" s="48">
        <f t="shared" si="44"/>
        <v>14295253.98</v>
      </c>
    </row>
    <row r="48" spans="1:33" ht="42" customHeight="1" x14ac:dyDescent="0.25">
      <c r="A48" s="43"/>
      <c r="B48" s="47" t="s">
        <v>319</v>
      </c>
      <c r="C48" s="247" t="s">
        <v>576</v>
      </c>
      <c r="D48" s="47" t="s">
        <v>124</v>
      </c>
      <c r="E48" s="51">
        <v>8</v>
      </c>
      <c r="F48" s="51">
        <v>7</v>
      </c>
      <c r="G48" s="51">
        <v>9</v>
      </c>
      <c r="H48" s="51">
        <v>0</v>
      </c>
      <c r="I48" s="51">
        <v>0</v>
      </c>
      <c r="J48" s="48">
        <v>132713.06</v>
      </c>
      <c r="K48" s="48">
        <f>32326.86+13925.43*1</f>
        <v>46252.29</v>
      </c>
      <c r="L48" s="49">
        <v>72362.48</v>
      </c>
      <c r="M48" s="48">
        <f t="shared" si="8"/>
        <v>251327.83000000002</v>
      </c>
      <c r="N48" s="48">
        <f t="shared" si="42"/>
        <v>1194417.54</v>
      </c>
      <c r="O48" s="48">
        <f t="shared" ref="O48" si="49">G48*K48</f>
        <v>416270.61</v>
      </c>
      <c r="P48" s="51"/>
      <c r="Q48" s="48">
        <f t="shared" si="48"/>
        <v>651262.31999999995</v>
      </c>
      <c r="R48" s="48"/>
      <c r="S48" s="48"/>
      <c r="T48" s="48">
        <f t="shared" si="43"/>
        <v>2261950.4699999997</v>
      </c>
      <c r="U48" s="48">
        <f t="shared" si="44"/>
        <v>2261950.4699999997</v>
      </c>
      <c r="V48" s="48">
        <f t="shared" si="44"/>
        <v>2261950.4699999997</v>
      </c>
    </row>
    <row r="49" spans="1:28" ht="42" customHeight="1" x14ac:dyDescent="0.25">
      <c r="A49" s="43"/>
      <c r="B49" s="47" t="s">
        <v>123</v>
      </c>
      <c r="C49" s="248"/>
      <c r="D49" s="47" t="s">
        <v>124</v>
      </c>
      <c r="E49" s="51"/>
      <c r="F49" s="51"/>
      <c r="G49" s="51">
        <v>0</v>
      </c>
      <c r="H49" s="51">
        <v>0</v>
      </c>
      <c r="I49" s="51">
        <v>0</v>
      </c>
      <c r="J49" s="48">
        <v>132713.06</v>
      </c>
      <c r="K49" s="48">
        <f t="shared" ref="K49:K50" si="50">32326.86+13925.43*1</f>
        <v>46252.29</v>
      </c>
      <c r="L49" s="49">
        <v>72363.48</v>
      </c>
      <c r="M49" s="48">
        <f t="shared" ref="M49" si="51">J49+K49+L49</f>
        <v>251328.83000000002</v>
      </c>
      <c r="N49" s="48">
        <f t="shared" ref="N49" si="52">G49*J49</f>
        <v>0</v>
      </c>
      <c r="O49" s="48">
        <f t="shared" ref="O49" si="53">G49*K49</f>
        <v>0</v>
      </c>
      <c r="P49" s="51"/>
      <c r="Q49" s="48">
        <f t="shared" ref="Q49" si="54">G49*L49</f>
        <v>0</v>
      </c>
      <c r="R49" s="48"/>
      <c r="S49" s="48"/>
      <c r="T49" s="48">
        <f t="shared" ref="T49" si="55">SUM(N49:Q49)</f>
        <v>0</v>
      </c>
      <c r="U49" s="48">
        <f t="shared" ref="U49" si="56">T49</f>
        <v>0</v>
      </c>
      <c r="V49" s="48">
        <f t="shared" ref="V49" si="57">U49</f>
        <v>0</v>
      </c>
    </row>
    <row r="50" spans="1:28" ht="69" customHeight="1" x14ac:dyDescent="0.25">
      <c r="A50" s="43"/>
      <c r="B50" s="47" t="s">
        <v>320</v>
      </c>
      <c r="C50" s="329"/>
      <c r="D50" s="47" t="s">
        <v>124</v>
      </c>
      <c r="E50" s="51">
        <v>44</v>
      </c>
      <c r="F50" s="51">
        <v>37</v>
      </c>
      <c r="G50" s="52">
        <v>33</v>
      </c>
      <c r="H50" s="51">
        <v>35</v>
      </c>
      <c r="I50" s="51">
        <v>35</v>
      </c>
      <c r="J50" s="48">
        <v>132713.06</v>
      </c>
      <c r="K50" s="48">
        <f t="shared" si="50"/>
        <v>46252.29</v>
      </c>
      <c r="L50" s="49">
        <v>72362.48</v>
      </c>
      <c r="M50" s="48">
        <f t="shared" si="8"/>
        <v>251327.83000000002</v>
      </c>
      <c r="N50" s="48">
        <f t="shared" si="42"/>
        <v>4379530.9799999995</v>
      </c>
      <c r="O50" s="48">
        <f>G50*K50</f>
        <v>1526325.57</v>
      </c>
      <c r="P50" s="51"/>
      <c r="Q50" s="48">
        <f t="shared" si="48"/>
        <v>2387961.84</v>
      </c>
      <c r="R50" s="48"/>
      <c r="S50" s="48"/>
      <c r="T50" s="48">
        <f t="shared" si="43"/>
        <v>8293818.3899999997</v>
      </c>
      <c r="U50" s="48">
        <f t="shared" si="44"/>
        <v>8293818.3899999997</v>
      </c>
      <c r="V50" s="48">
        <f t="shared" si="44"/>
        <v>8293818.3899999997</v>
      </c>
    </row>
    <row r="51" spans="1:28" ht="61.15" hidden="1" customHeight="1" x14ac:dyDescent="0.25">
      <c r="A51" s="47"/>
      <c r="B51" s="46"/>
      <c r="C51" s="47" t="s">
        <v>44</v>
      </c>
      <c r="D51" s="47"/>
      <c r="E51" s="51"/>
      <c r="F51" s="51"/>
      <c r="G51" s="51"/>
      <c r="H51" s="51"/>
      <c r="I51" s="51"/>
      <c r="J51" s="48"/>
      <c r="K51" s="48">
        <f t="shared" ref="K51:K66" si="58">(12142.68*2.133649)</f>
        <v>25908.217039320003</v>
      </c>
      <c r="L51" s="48"/>
      <c r="M51" s="48">
        <f t="shared" si="8"/>
        <v>25908.217039320003</v>
      </c>
      <c r="N51" s="51"/>
      <c r="O51" s="48"/>
      <c r="P51" s="51"/>
      <c r="Q51" s="48"/>
      <c r="R51" s="48"/>
      <c r="S51" s="48"/>
      <c r="T51" s="48">
        <f>O51</f>
        <v>0</v>
      </c>
      <c r="U51" s="48">
        <f t="shared" si="44"/>
        <v>0</v>
      </c>
      <c r="V51" s="48">
        <f t="shared" si="44"/>
        <v>0</v>
      </c>
    </row>
    <row r="52" spans="1:28" ht="61.15" hidden="1" customHeight="1" x14ac:dyDescent="0.25">
      <c r="A52" s="43"/>
      <c r="B52" s="41"/>
      <c r="C52" s="47" t="s">
        <v>44</v>
      </c>
      <c r="D52" s="47"/>
      <c r="E52" s="51"/>
      <c r="F52" s="51"/>
      <c r="G52" s="51"/>
      <c r="H52" s="51"/>
      <c r="I52" s="51"/>
      <c r="J52" s="48"/>
      <c r="K52" s="48">
        <f t="shared" si="58"/>
        <v>25908.217039320003</v>
      </c>
      <c r="L52" s="48"/>
      <c r="M52" s="48">
        <f t="shared" si="8"/>
        <v>25908.217039320003</v>
      </c>
      <c r="N52" s="51"/>
      <c r="O52" s="48"/>
      <c r="P52" s="51"/>
      <c r="Q52" s="48"/>
      <c r="R52" s="48"/>
      <c r="S52" s="48"/>
      <c r="T52" s="48">
        <f>N52</f>
        <v>0</v>
      </c>
      <c r="U52" s="48">
        <f t="shared" si="44"/>
        <v>0</v>
      </c>
      <c r="V52" s="48">
        <f t="shared" si="44"/>
        <v>0</v>
      </c>
    </row>
    <row r="53" spans="1:28" ht="61.15" hidden="1" customHeight="1" x14ac:dyDescent="0.25">
      <c r="A53" s="43"/>
      <c r="B53" s="41"/>
      <c r="C53" s="47"/>
      <c r="D53" s="47"/>
      <c r="E53" s="51"/>
      <c r="F53" s="51"/>
      <c r="G53" s="51"/>
      <c r="H53" s="51"/>
      <c r="I53" s="51"/>
      <c r="J53" s="48"/>
      <c r="K53" s="48">
        <f t="shared" si="58"/>
        <v>25908.217039320003</v>
      </c>
      <c r="L53" s="48"/>
      <c r="M53" s="48">
        <f t="shared" si="8"/>
        <v>25908.217039320003</v>
      </c>
      <c r="N53" s="51"/>
      <c r="O53" s="48"/>
      <c r="P53" s="51"/>
      <c r="Q53" s="48"/>
      <c r="R53" s="48"/>
      <c r="S53" s="48"/>
      <c r="T53" s="48">
        <f>O53</f>
        <v>0</v>
      </c>
      <c r="U53" s="48">
        <f t="shared" si="44"/>
        <v>0</v>
      </c>
      <c r="V53" s="48">
        <f t="shared" si="44"/>
        <v>0</v>
      </c>
    </row>
    <row r="54" spans="1:28" ht="61.15" customHeight="1" x14ac:dyDescent="0.25">
      <c r="A54" s="43" t="s">
        <v>127</v>
      </c>
      <c r="B54" s="47" t="s">
        <v>128</v>
      </c>
      <c r="C54" s="47" t="s">
        <v>54</v>
      </c>
      <c r="D54" s="47" t="s">
        <v>124</v>
      </c>
      <c r="E54" s="51">
        <f>E50+E48+E47+E46+E44+E45</f>
        <v>116</v>
      </c>
      <c r="F54" s="52">
        <f>F50+F48+F47+F46+F44+F45</f>
        <v>97</v>
      </c>
      <c r="G54" s="52">
        <f>G50+G49+G48+G47+G46+G44+G45</f>
        <v>96</v>
      </c>
      <c r="H54" s="51">
        <f>H50+H49+H48+H47+H46+H44+H45</f>
        <v>97</v>
      </c>
      <c r="I54" s="51">
        <f>I50+I49+I48+I47+I46+I44+I45</f>
        <v>97</v>
      </c>
      <c r="J54" s="48">
        <v>0</v>
      </c>
      <c r="K54" s="48">
        <v>0</v>
      </c>
      <c r="L54" s="49">
        <f>61511.06</f>
        <v>61511.06</v>
      </c>
      <c r="M54" s="48">
        <f t="shared" si="8"/>
        <v>61511.06</v>
      </c>
      <c r="N54" s="48">
        <f>G54*J54</f>
        <v>0</v>
      </c>
      <c r="O54" s="48">
        <f>G54*K54</f>
        <v>0</v>
      </c>
      <c r="P54" s="51"/>
      <c r="Q54" s="49">
        <f>G54*L54</f>
        <v>5905061.7599999998</v>
      </c>
      <c r="R54" s="48"/>
      <c r="S54" s="48"/>
      <c r="T54" s="49">
        <f>SUM(N54:Q54)</f>
        <v>5905061.7599999998</v>
      </c>
      <c r="U54" s="48">
        <f t="shared" si="44"/>
        <v>5905061.7599999998</v>
      </c>
      <c r="V54" s="48">
        <f t="shared" si="44"/>
        <v>5905061.7599999998</v>
      </c>
    </row>
    <row r="55" spans="1:28" ht="29.45" customHeight="1" x14ac:dyDescent="0.25">
      <c r="A55" s="47" t="s">
        <v>494</v>
      </c>
      <c r="B55" s="47" t="s">
        <v>128</v>
      </c>
      <c r="C55" s="47" t="s">
        <v>129</v>
      </c>
      <c r="D55" s="47"/>
      <c r="E55" s="51"/>
      <c r="F55" s="51"/>
      <c r="G55" s="52">
        <f>G54</f>
        <v>96</v>
      </c>
      <c r="H55" s="52">
        <f>H54</f>
        <v>97</v>
      </c>
      <c r="I55" s="52">
        <f>I54</f>
        <v>97</v>
      </c>
      <c r="J55" s="48"/>
      <c r="K55" s="48"/>
      <c r="L55" s="49">
        <v>20437.68</v>
      </c>
      <c r="M55" s="48">
        <f t="shared" si="8"/>
        <v>20437.68</v>
      </c>
      <c r="N55" s="51"/>
      <c r="O55" s="48"/>
      <c r="P55" s="51"/>
      <c r="Q55" s="48"/>
      <c r="R55" s="48"/>
      <c r="S55" s="49">
        <f>G55*L55</f>
        <v>1962017.28</v>
      </c>
      <c r="T55" s="49">
        <f>S55</f>
        <v>1962017.28</v>
      </c>
      <c r="U55" s="48">
        <f>T55</f>
        <v>1962017.28</v>
      </c>
      <c r="V55" s="48">
        <f>U55</f>
        <v>1962017.28</v>
      </c>
    </row>
    <row r="56" spans="1:28" ht="29.45" customHeight="1" x14ac:dyDescent="0.25">
      <c r="A56" s="46" t="s">
        <v>136</v>
      </c>
      <c r="B56" s="46"/>
      <c r="C56" s="46"/>
      <c r="D56" s="46"/>
      <c r="E56" s="52"/>
      <c r="F56" s="52"/>
      <c r="G56" s="52"/>
      <c r="H56" s="52"/>
      <c r="I56" s="52"/>
      <c r="J56" s="49"/>
      <c r="K56" s="48"/>
      <c r="L56" s="49"/>
      <c r="M56" s="48">
        <f t="shared" si="8"/>
        <v>0</v>
      </c>
      <c r="N56" s="49">
        <f>N57</f>
        <v>12185289.57</v>
      </c>
      <c r="O56" s="49">
        <f>O57</f>
        <v>4805453.8650000002</v>
      </c>
      <c r="P56" s="52">
        <f>P57</f>
        <v>0</v>
      </c>
      <c r="Q56" s="49">
        <f>Q57+Q67</f>
        <v>11646997.98</v>
      </c>
      <c r="R56" s="49">
        <f>R57</f>
        <v>0</v>
      </c>
      <c r="S56" s="49">
        <f>S68</f>
        <v>1778078.16</v>
      </c>
      <c r="T56" s="49">
        <f>T57+T67+T68</f>
        <v>30415819.574999999</v>
      </c>
      <c r="U56" s="49">
        <f>U57+U67+U68</f>
        <v>30415819.574999999</v>
      </c>
      <c r="V56" s="49">
        <f>V57+V67+V68</f>
        <v>30415819.574999999</v>
      </c>
      <c r="W56" s="38">
        <v>5581141.5300000003</v>
      </c>
      <c r="X56" s="44">
        <f>W56-Q56</f>
        <v>-6065856.4500000002</v>
      </c>
      <c r="Y56" s="38">
        <f>X56/G67</f>
        <v>-69722.487931034484</v>
      </c>
      <c r="AA56" s="38">
        <v>5552393.5300000003</v>
      </c>
      <c r="AB56" s="44">
        <f>AA56-Q56</f>
        <v>-6094604.4500000002</v>
      </c>
    </row>
    <row r="57" spans="1:28" ht="69.599999999999994" customHeight="1" x14ac:dyDescent="0.25">
      <c r="A57" s="43" t="s">
        <v>121</v>
      </c>
      <c r="B57" s="41" t="s">
        <v>122</v>
      </c>
      <c r="C57" s="41"/>
      <c r="D57" s="47"/>
      <c r="E57" s="51"/>
      <c r="F57" s="51"/>
      <c r="G57" s="51"/>
      <c r="H57" s="51"/>
      <c r="I57" s="51"/>
      <c r="J57" s="48"/>
      <c r="K57" s="48"/>
      <c r="L57" s="48"/>
      <c r="M57" s="48"/>
      <c r="N57" s="48">
        <f>SUM(N58:N66)</f>
        <v>12185289.57</v>
      </c>
      <c r="O57" s="48">
        <f>SUM(O58:O66)</f>
        <v>4805453.8650000002</v>
      </c>
      <c r="P57" s="319"/>
      <c r="Q57" s="49">
        <f>SUM(Q58:Q64)</f>
        <v>6295535.7599999998</v>
      </c>
      <c r="R57" s="48"/>
      <c r="S57" s="48"/>
      <c r="T57" s="49">
        <f>SUM(T58:T66)</f>
        <v>23286279.195</v>
      </c>
      <c r="U57" s="48">
        <f t="shared" ref="U57:V57" si="59">SUM(U58:U66)</f>
        <v>23286279.195</v>
      </c>
      <c r="V57" s="48">
        <f t="shared" si="59"/>
        <v>23286279.195</v>
      </c>
      <c r="W57" s="44">
        <v>14544322.529999999</v>
      </c>
      <c r="AA57" s="44">
        <f>14544322.53+U68</f>
        <v>16322400.689999999</v>
      </c>
      <c r="AB57" s="44">
        <f>U56-AA57</f>
        <v>14093418.885</v>
      </c>
    </row>
    <row r="58" spans="1:28" ht="99.6" customHeight="1" x14ac:dyDescent="0.25">
      <c r="A58" s="43"/>
      <c r="B58" s="43" t="s">
        <v>137</v>
      </c>
      <c r="C58" s="222" t="s">
        <v>285</v>
      </c>
      <c r="D58" s="47" t="s">
        <v>124</v>
      </c>
      <c r="E58" s="51">
        <v>0</v>
      </c>
      <c r="F58" s="51">
        <v>14</v>
      </c>
      <c r="G58" s="52">
        <v>0</v>
      </c>
      <c r="H58" s="51">
        <v>0</v>
      </c>
      <c r="I58" s="51">
        <v>0</v>
      </c>
      <c r="J58" s="48">
        <v>86493.99</v>
      </c>
      <c r="K58" s="48">
        <f>46867.01+15649.51*1</f>
        <v>62516.520000000004</v>
      </c>
      <c r="L58" s="49">
        <v>72362.48</v>
      </c>
      <c r="M58" s="48">
        <f t="shared" ref="M58:M59" si="60">J58+K58+L58</f>
        <v>221372.99</v>
      </c>
      <c r="N58" s="48">
        <f t="shared" ref="N58:N64" si="61">G58*J58</f>
        <v>0</v>
      </c>
      <c r="O58" s="48">
        <f>G58*K58</f>
        <v>0</v>
      </c>
      <c r="P58" s="51"/>
      <c r="Q58" s="48">
        <f>G58*L58</f>
        <v>0</v>
      </c>
      <c r="R58" s="48"/>
      <c r="S58" s="48"/>
      <c r="T58" s="48">
        <f t="shared" ref="T58:T64" si="62">SUM(N58:Q58)</f>
        <v>0</v>
      </c>
      <c r="U58" s="48">
        <f t="shared" ref="U58:U59" si="63">T58</f>
        <v>0</v>
      </c>
      <c r="V58" s="48">
        <f t="shared" ref="V58:V59" si="64">U58</f>
        <v>0</v>
      </c>
      <c r="W58" s="44"/>
      <c r="AA58" s="44"/>
      <c r="AB58" s="44"/>
    </row>
    <row r="59" spans="1:28" ht="103.9" customHeight="1" x14ac:dyDescent="0.25">
      <c r="A59" s="43"/>
      <c r="B59" s="43" t="s">
        <v>318</v>
      </c>
      <c r="C59" s="222" t="s">
        <v>499</v>
      </c>
      <c r="D59" s="47" t="s">
        <v>124</v>
      </c>
      <c r="E59" s="51">
        <v>0</v>
      </c>
      <c r="F59" s="51">
        <v>12</v>
      </c>
      <c r="G59" s="51">
        <v>0</v>
      </c>
      <c r="H59" s="51">
        <v>0</v>
      </c>
      <c r="I59" s="51">
        <v>0</v>
      </c>
      <c r="J59" s="48">
        <v>245948.56</v>
      </c>
      <c r="K59" s="48">
        <f>70240.51+15649.51*2</f>
        <v>101539.53</v>
      </c>
      <c r="L59" s="49">
        <v>72362.48</v>
      </c>
      <c r="M59" s="48">
        <f t="shared" si="60"/>
        <v>419850.56999999995</v>
      </c>
      <c r="N59" s="48">
        <f t="shared" si="61"/>
        <v>0</v>
      </c>
      <c r="O59" s="48">
        <f>G59*K59+376793.67</f>
        <v>376793.67</v>
      </c>
      <c r="P59" s="51"/>
      <c r="Q59" s="48">
        <f>G59*L59</f>
        <v>0</v>
      </c>
      <c r="R59" s="48"/>
      <c r="S59" s="48"/>
      <c r="T59" s="48">
        <f t="shared" si="62"/>
        <v>376793.67</v>
      </c>
      <c r="U59" s="48">
        <f t="shared" si="63"/>
        <v>376793.67</v>
      </c>
      <c r="V59" s="48">
        <f t="shared" si="64"/>
        <v>376793.67</v>
      </c>
      <c r="W59" s="44"/>
      <c r="AA59" s="44"/>
      <c r="AB59" s="44"/>
    </row>
    <row r="60" spans="1:28" ht="31.15" customHeight="1" x14ac:dyDescent="0.25">
      <c r="A60" s="43"/>
      <c r="B60" s="47" t="s">
        <v>137</v>
      </c>
      <c r="C60" s="246" t="s">
        <v>286</v>
      </c>
      <c r="D60" s="47" t="s">
        <v>124</v>
      </c>
      <c r="E60" s="51">
        <f>20-3</f>
        <v>17</v>
      </c>
      <c r="F60" s="51">
        <v>2</v>
      </c>
      <c r="G60" s="51">
        <f>14+1</f>
        <v>15</v>
      </c>
      <c r="H60" s="51">
        <v>14</v>
      </c>
      <c r="I60" s="51">
        <v>14</v>
      </c>
      <c r="J60" s="48">
        <f>95705.64+79624.31</f>
        <v>175329.95</v>
      </c>
      <c r="K60" s="48">
        <f>43062.49+17492.53*1.5</f>
        <v>69301.285000000003</v>
      </c>
      <c r="L60" s="49">
        <v>72362.48</v>
      </c>
      <c r="M60" s="48">
        <f t="shared" si="8"/>
        <v>316993.71500000003</v>
      </c>
      <c r="N60" s="48">
        <f t="shared" si="61"/>
        <v>2629949.25</v>
      </c>
      <c r="O60" s="48">
        <f>G60*K60</f>
        <v>1039519.275</v>
      </c>
      <c r="P60" s="51"/>
      <c r="Q60" s="48">
        <f>G60*L60</f>
        <v>1085437.2</v>
      </c>
      <c r="R60" s="48"/>
      <c r="S60" s="48"/>
      <c r="T60" s="48">
        <f t="shared" si="62"/>
        <v>4754905.7249999996</v>
      </c>
      <c r="U60" s="48">
        <f t="shared" ref="U60:V67" si="65">T60</f>
        <v>4754905.7249999996</v>
      </c>
      <c r="V60" s="48">
        <f t="shared" si="65"/>
        <v>4754905.7249999996</v>
      </c>
      <c r="X60" s="44">
        <f>W57-U56</f>
        <v>-15871497.045</v>
      </c>
    </row>
    <row r="61" spans="1:28" ht="28.9" customHeight="1" x14ac:dyDescent="0.25">
      <c r="A61" s="43"/>
      <c r="B61" s="47" t="s">
        <v>318</v>
      </c>
      <c r="C61" s="321"/>
      <c r="D61" s="47" t="s">
        <v>124</v>
      </c>
      <c r="E61" s="51">
        <v>4</v>
      </c>
      <c r="F61" s="51">
        <v>1</v>
      </c>
      <c r="G61" s="51">
        <f>2-2</f>
        <v>0</v>
      </c>
      <c r="H61" s="51">
        <f>2-2</f>
        <v>0</v>
      </c>
      <c r="I61" s="51">
        <f>2-2</f>
        <v>0</v>
      </c>
      <c r="J61" s="48">
        <f>95705.64+37007.42</f>
        <v>132713.06</v>
      </c>
      <c r="K61" s="48">
        <f>32326.86+17492.53</f>
        <v>49819.39</v>
      </c>
      <c r="L61" s="49">
        <v>72362.48</v>
      </c>
      <c r="M61" s="48">
        <f t="shared" si="8"/>
        <v>254894.93</v>
      </c>
      <c r="N61" s="48">
        <f t="shared" si="61"/>
        <v>0</v>
      </c>
      <c r="O61" s="48">
        <f t="shared" ref="O61" si="66">G61*K61</f>
        <v>0</v>
      </c>
      <c r="P61" s="51"/>
      <c r="Q61" s="48">
        <f t="shared" ref="Q61:Q63" si="67">G61*L61</f>
        <v>0</v>
      </c>
      <c r="R61" s="48"/>
      <c r="S61" s="48"/>
      <c r="T61" s="48">
        <f t="shared" si="62"/>
        <v>0</v>
      </c>
      <c r="U61" s="48">
        <f t="shared" si="65"/>
        <v>0</v>
      </c>
      <c r="V61" s="48">
        <f t="shared" si="65"/>
        <v>0</v>
      </c>
    </row>
    <row r="62" spans="1:28" ht="23.45" customHeight="1" x14ac:dyDescent="0.25">
      <c r="A62" s="43"/>
      <c r="B62" s="47" t="s">
        <v>318</v>
      </c>
      <c r="C62" s="321"/>
      <c r="D62" s="47" t="s">
        <v>124</v>
      </c>
      <c r="E62" s="51">
        <v>21</v>
      </c>
      <c r="F62" s="51">
        <v>10</v>
      </c>
      <c r="G62" s="51">
        <v>25</v>
      </c>
      <c r="H62" s="51">
        <v>25</v>
      </c>
      <c r="I62" s="51">
        <v>25</v>
      </c>
      <c r="J62" s="48">
        <f t="shared" ref="J62:J64" si="68">95705.64+37007.42</f>
        <v>132713.06</v>
      </c>
      <c r="K62" s="48">
        <f>32326.86+17492.53</f>
        <v>49819.39</v>
      </c>
      <c r="L62" s="49">
        <v>72362.48</v>
      </c>
      <c r="M62" s="48">
        <f t="shared" ref="M62" si="69">J62+K62+L62</f>
        <v>254894.93</v>
      </c>
      <c r="N62" s="48">
        <f t="shared" si="61"/>
        <v>3317826.5</v>
      </c>
      <c r="O62" s="48">
        <f>G62*K62+46162.57-8471.62-498834.53</f>
        <v>784341.16999999993</v>
      </c>
      <c r="P62" s="51"/>
      <c r="Q62" s="48">
        <f t="shared" ref="Q62" si="70">G62*L62</f>
        <v>1809062</v>
      </c>
      <c r="R62" s="48"/>
      <c r="S62" s="48"/>
      <c r="T62" s="48">
        <f t="shared" si="62"/>
        <v>5911229.6699999999</v>
      </c>
      <c r="U62" s="48">
        <f t="shared" ref="U62" si="71">T62</f>
        <v>5911229.6699999999</v>
      </c>
      <c r="V62" s="48">
        <f t="shared" ref="V62" si="72">U62</f>
        <v>5911229.6699999999</v>
      </c>
    </row>
    <row r="63" spans="1:28" ht="25.9" customHeight="1" x14ac:dyDescent="0.25">
      <c r="A63" s="43" t="s">
        <v>493</v>
      </c>
      <c r="B63" s="47" t="s">
        <v>326</v>
      </c>
      <c r="C63" s="321"/>
      <c r="D63" s="47" t="s">
        <v>124</v>
      </c>
      <c r="E63" s="51">
        <v>2</v>
      </c>
      <c r="F63" s="51">
        <v>2</v>
      </c>
      <c r="G63" s="52">
        <v>1</v>
      </c>
      <c r="H63" s="51">
        <f>2-1</f>
        <v>1</v>
      </c>
      <c r="I63" s="51">
        <f>2-1</f>
        <v>1</v>
      </c>
      <c r="J63" s="48">
        <v>132713.06</v>
      </c>
      <c r="K63" s="48">
        <f>32326.86+17492.53*1+257654.9</f>
        <v>307474.28999999998</v>
      </c>
      <c r="L63" s="49">
        <v>72362.48</v>
      </c>
      <c r="M63" s="48">
        <f t="shared" si="8"/>
        <v>512549.82999999996</v>
      </c>
      <c r="N63" s="48">
        <f t="shared" si="61"/>
        <v>132713.06</v>
      </c>
      <c r="O63" s="48">
        <f>G63*K63+5633.89-0.37</f>
        <v>313107.81</v>
      </c>
      <c r="P63" s="51"/>
      <c r="Q63" s="48">
        <f t="shared" si="67"/>
        <v>72362.48</v>
      </c>
      <c r="R63" s="48"/>
      <c r="S63" s="48"/>
      <c r="T63" s="48">
        <f t="shared" si="62"/>
        <v>518183.35</v>
      </c>
      <c r="U63" s="48">
        <f t="shared" si="65"/>
        <v>518183.35</v>
      </c>
      <c r="V63" s="48">
        <f t="shared" si="65"/>
        <v>518183.35</v>
      </c>
    </row>
    <row r="64" spans="1:28" ht="24" customHeight="1" x14ac:dyDescent="0.25">
      <c r="A64" s="47"/>
      <c r="B64" s="47" t="s">
        <v>316</v>
      </c>
      <c r="C64" s="318"/>
      <c r="D64" s="47" t="s">
        <v>124</v>
      </c>
      <c r="E64" s="51">
        <f>58+1-5</f>
        <v>54</v>
      </c>
      <c r="F64" s="51">
        <v>46</v>
      </c>
      <c r="G64" s="52">
        <v>46</v>
      </c>
      <c r="H64" s="51">
        <f>53-7</f>
        <v>46</v>
      </c>
      <c r="I64" s="51">
        <f>53-7</f>
        <v>46</v>
      </c>
      <c r="J64" s="48">
        <f t="shared" si="68"/>
        <v>132713.06</v>
      </c>
      <c r="K64" s="48">
        <f>32326.86+17492.53</f>
        <v>49819.39</v>
      </c>
      <c r="L64" s="49">
        <v>72362.48</v>
      </c>
      <c r="M64" s="48">
        <f t="shared" si="8"/>
        <v>254894.93</v>
      </c>
      <c r="N64" s="48">
        <f t="shared" si="61"/>
        <v>6104800.7599999998</v>
      </c>
      <c r="O64" s="48">
        <f>G64*K64</f>
        <v>2291691.94</v>
      </c>
      <c r="P64" s="51"/>
      <c r="Q64" s="48">
        <f>G64*L64</f>
        <v>3328674.0799999996</v>
      </c>
      <c r="R64" s="48"/>
      <c r="S64" s="48"/>
      <c r="T64" s="48">
        <f t="shared" si="62"/>
        <v>11725166.779999999</v>
      </c>
      <c r="U64" s="48">
        <f t="shared" si="65"/>
        <v>11725166.779999999</v>
      </c>
      <c r="V64" s="48">
        <f t="shared" si="65"/>
        <v>11725166.779999999</v>
      </c>
    </row>
    <row r="65" spans="1:29" ht="28.9" hidden="1" customHeight="1" x14ac:dyDescent="0.25">
      <c r="A65" s="47"/>
      <c r="B65" s="41" t="s">
        <v>133</v>
      </c>
      <c r="C65" s="47" t="s">
        <v>44</v>
      </c>
      <c r="D65" s="47"/>
      <c r="E65" s="51"/>
      <c r="F65" s="51"/>
      <c r="G65" s="51"/>
      <c r="H65" s="51"/>
      <c r="I65" s="51"/>
      <c r="J65" s="48"/>
      <c r="K65" s="48">
        <f t="shared" si="58"/>
        <v>25908.217039320003</v>
      </c>
      <c r="L65" s="48">
        <v>0</v>
      </c>
      <c r="M65" s="48">
        <v>0</v>
      </c>
      <c r="N65" s="51"/>
      <c r="O65" s="48"/>
      <c r="P65" s="51"/>
      <c r="Q65" s="48"/>
      <c r="R65" s="48"/>
      <c r="S65" s="48"/>
      <c r="T65" s="48">
        <f>N65</f>
        <v>0</v>
      </c>
      <c r="U65" s="48">
        <f t="shared" si="65"/>
        <v>0</v>
      </c>
      <c r="V65" s="48">
        <f t="shared" si="65"/>
        <v>0</v>
      </c>
    </row>
    <row r="66" spans="1:29" ht="31.15" hidden="1" customHeight="1" x14ac:dyDescent="0.25">
      <c r="A66" s="47"/>
      <c r="B66" s="41" t="s">
        <v>134</v>
      </c>
      <c r="C66" s="47"/>
      <c r="D66" s="47"/>
      <c r="E66" s="51"/>
      <c r="F66" s="51"/>
      <c r="G66" s="51"/>
      <c r="H66" s="51"/>
      <c r="I66" s="51"/>
      <c r="J66" s="48"/>
      <c r="K66" s="48">
        <f t="shared" si="58"/>
        <v>25908.217039320003</v>
      </c>
      <c r="L66" s="48">
        <v>0</v>
      </c>
      <c r="M66" s="48">
        <v>0</v>
      </c>
      <c r="N66" s="51"/>
      <c r="O66" s="48"/>
      <c r="P66" s="51"/>
      <c r="Q66" s="48"/>
      <c r="R66" s="48"/>
      <c r="S66" s="48"/>
      <c r="T66" s="48">
        <f>O66</f>
        <v>0</v>
      </c>
      <c r="U66" s="48">
        <f t="shared" si="65"/>
        <v>0</v>
      </c>
      <c r="V66" s="48">
        <f t="shared" si="65"/>
        <v>0</v>
      </c>
    </row>
    <row r="67" spans="1:29" ht="66" customHeight="1" x14ac:dyDescent="0.25">
      <c r="A67" s="43" t="s">
        <v>127</v>
      </c>
      <c r="B67" s="47" t="s">
        <v>128</v>
      </c>
      <c r="C67" s="47" t="s">
        <v>54</v>
      </c>
      <c r="D67" s="47" t="s">
        <v>124</v>
      </c>
      <c r="E67" s="51">
        <f>SUM(E58:E66)</f>
        <v>98</v>
      </c>
      <c r="F67" s="52">
        <f>SUM(F58:F66)</f>
        <v>87</v>
      </c>
      <c r="G67" s="52">
        <f>G60+G61+G63+G64+G62+G58+G59</f>
        <v>87</v>
      </c>
      <c r="H67" s="52">
        <f>SUM(H58:H66)</f>
        <v>86</v>
      </c>
      <c r="I67" s="52">
        <f>SUM(I58:I66)</f>
        <v>86</v>
      </c>
      <c r="J67" s="48">
        <v>0</v>
      </c>
      <c r="K67" s="48">
        <v>0</v>
      </c>
      <c r="L67" s="49">
        <f>61511.06</f>
        <v>61511.06</v>
      </c>
      <c r="M67" s="48">
        <f>J67+K67+L67</f>
        <v>61511.06</v>
      </c>
      <c r="N67" s="48">
        <f>G67*J67</f>
        <v>0</v>
      </c>
      <c r="O67" s="48">
        <f>G67*K67</f>
        <v>0</v>
      </c>
      <c r="P67" s="51"/>
      <c r="Q67" s="49">
        <f>G67*L67</f>
        <v>5351462.22</v>
      </c>
      <c r="R67" s="48"/>
      <c r="S67" s="48"/>
      <c r="T67" s="49">
        <f>SUM(N67:Q67)</f>
        <v>5351462.22</v>
      </c>
      <c r="U67" s="48">
        <f>T67</f>
        <v>5351462.22</v>
      </c>
      <c r="V67" s="48">
        <f t="shared" si="65"/>
        <v>5351462.22</v>
      </c>
    </row>
    <row r="68" spans="1:29" ht="27" customHeight="1" x14ac:dyDescent="0.25">
      <c r="A68" s="47" t="s">
        <v>640</v>
      </c>
      <c r="B68" s="47" t="s">
        <v>128</v>
      </c>
      <c r="C68" s="47" t="s">
        <v>129</v>
      </c>
      <c r="D68" s="47"/>
      <c r="E68" s="51"/>
      <c r="F68" s="51"/>
      <c r="G68" s="52">
        <f>G67</f>
        <v>87</v>
      </c>
      <c r="H68" s="52">
        <f>H67</f>
        <v>86</v>
      </c>
      <c r="I68" s="52">
        <f>I67</f>
        <v>86</v>
      </c>
      <c r="J68" s="48"/>
      <c r="K68" s="48"/>
      <c r="L68" s="49">
        <v>20437.68</v>
      </c>
      <c r="M68" s="48">
        <f t="shared" si="8"/>
        <v>20437.68</v>
      </c>
      <c r="N68" s="51"/>
      <c r="O68" s="48"/>
      <c r="P68" s="51"/>
      <c r="Q68" s="48"/>
      <c r="R68" s="48"/>
      <c r="S68" s="49">
        <f>G68*L68</f>
        <v>1778078.16</v>
      </c>
      <c r="T68" s="49">
        <f>S68</f>
        <v>1778078.16</v>
      </c>
      <c r="U68" s="48">
        <f>T68</f>
        <v>1778078.16</v>
      </c>
      <c r="V68" s="48">
        <f>U68</f>
        <v>1778078.16</v>
      </c>
    </row>
    <row r="69" spans="1:29" ht="26.45" customHeight="1" x14ac:dyDescent="0.25">
      <c r="A69" s="46" t="s">
        <v>138</v>
      </c>
      <c r="B69" s="46"/>
      <c r="C69" s="46"/>
      <c r="D69" s="46"/>
      <c r="E69" s="52"/>
      <c r="F69" s="52"/>
      <c r="G69" s="52"/>
      <c r="H69" s="52"/>
      <c r="I69" s="52"/>
      <c r="J69" s="49"/>
      <c r="K69" s="48"/>
      <c r="L69" s="49"/>
      <c r="M69" s="48">
        <f t="shared" si="8"/>
        <v>0</v>
      </c>
      <c r="N69" s="49">
        <f>N70+N85</f>
        <v>16076357.52</v>
      </c>
      <c r="O69" s="49">
        <f>O70</f>
        <v>6072308.0299999993</v>
      </c>
      <c r="P69" s="49"/>
      <c r="Q69" s="49">
        <f>Q70+Q82</f>
        <v>14190595.239999998</v>
      </c>
      <c r="R69" s="49"/>
      <c r="S69" s="49">
        <f>S83</f>
        <v>2166394.08</v>
      </c>
      <c r="T69" s="49">
        <f>T70+T82+T83+T85</f>
        <v>38505654.870000005</v>
      </c>
      <c r="U69" s="49">
        <f>U70+U82+U83+U85</f>
        <v>38260233.120000005</v>
      </c>
      <c r="V69" s="49">
        <f>V70+V82+V83</f>
        <v>38260233.120000005</v>
      </c>
      <c r="W69" s="38">
        <v>10602392.789999999</v>
      </c>
      <c r="X69" s="44">
        <f>W69-Q69</f>
        <v>-3588202.4499999993</v>
      </c>
      <c r="Y69" s="50">
        <f>X69/G82</f>
        <v>-33850.966509433958</v>
      </c>
      <c r="AA69" s="38">
        <v>11530755.789999999</v>
      </c>
      <c r="AB69" s="44">
        <f>AA69-Q69</f>
        <v>-2659839.4499999993</v>
      </c>
      <c r="AC69" s="38">
        <f>AB69/I82</f>
        <v>-25092.824999999993</v>
      </c>
    </row>
    <row r="70" spans="1:29" ht="73.150000000000006" customHeight="1" x14ac:dyDescent="0.25">
      <c r="A70" s="43" t="s">
        <v>121</v>
      </c>
      <c r="B70" s="41" t="s">
        <v>122</v>
      </c>
      <c r="C70" s="41"/>
      <c r="D70" s="47"/>
      <c r="E70" s="51"/>
      <c r="F70" s="51"/>
      <c r="G70" s="51"/>
      <c r="H70" s="51"/>
      <c r="I70" s="51"/>
      <c r="J70" s="48"/>
      <c r="K70" s="48"/>
      <c r="L70" s="48"/>
      <c r="M70" s="48"/>
      <c r="N70" s="48">
        <f>SUM(N71:N81)</f>
        <v>15830935.77</v>
      </c>
      <c r="O70" s="48">
        <f>SUM(O71:O81)</f>
        <v>6072308.0299999993</v>
      </c>
      <c r="P70" s="51"/>
      <c r="Q70" s="49">
        <f>SUM(Q71:Q81)</f>
        <v>7670422.879999999</v>
      </c>
      <c r="R70" s="48"/>
      <c r="S70" s="48"/>
      <c r="T70" s="49">
        <f>SUM(T71:T81)</f>
        <v>29573666.680000003</v>
      </c>
      <c r="U70" s="48">
        <f>SUM(U71:U81)</f>
        <v>29573666.680000003</v>
      </c>
      <c r="V70" s="48">
        <f>SUM(V71:V81)</f>
        <v>29573666.680000003</v>
      </c>
      <c r="W70" s="44">
        <v>23072309.280000001</v>
      </c>
      <c r="AA70" s="44">
        <f>23072309.28+U83</f>
        <v>25238703.359999999</v>
      </c>
      <c r="AB70" s="44">
        <f>U69-AA70</f>
        <v>13021529.760000005</v>
      </c>
    </row>
    <row r="71" spans="1:29" ht="48" customHeight="1" x14ac:dyDescent="0.25">
      <c r="A71" s="43"/>
      <c r="B71" s="47" t="s">
        <v>123</v>
      </c>
      <c r="C71" s="246" t="s">
        <v>577</v>
      </c>
      <c r="D71" s="47" t="s">
        <v>124</v>
      </c>
      <c r="E71" s="51">
        <v>17</v>
      </c>
      <c r="F71" s="51">
        <v>20</v>
      </c>
      <c r="G71" s="51">
        <f>20+2</f>
        <v>22</v>
      </c>
      <c r="H71" s="51">
        <f>20+2</f>
        <v>22</v>
      </c>
      <c r="I71" s="51">
        <f>20+2</f>
        <v>22</v>
      </c>
      <c r="J71" s="48">
        <v>86493.99</v>
      </c>
      <c r="K71" s="48">
        <f>43062.49+13925.43</f>
        <v>56987.92</v>
      </c>
      <c r="L71" s="49">
        <v>72362.48</v>
      </c>
      <c r="M71" s="48">
        <f t="shared" si="8"/>
        <v>215844.39</v>
      </c>
      <c r="N71" s="48">
        <f t="shared" ref="N71:N81" si="73">G71*J71</f>
        <v>1902867.78</v>
      </c>
      <c r="O71" s="48">
        <f t="shared" ref="O71:O81" si="74">G71*K71</f>
        <v>1253734.24</v>
      </c>
      <c r="P71" s="51"/>
      <c r="Q71" s="48">
        <f>G71*L71</f>
        <v>1591974.5599999998</v>
      </c>
      <c r="R71" s="48"/>
      <c r="S71" s="48"/>
      <c r="T71" s="48">
        <f t="shared" ref="T71:T76" si="75">SUM(N71:Q71)</f>
        <v>4748576.58</v>
      </c>
      <c r="U71" s="48">
        <f t="shared" ref="U71:V82" si="76">T71</f>
        <v>4748576.58</v>
      </c>
      <c r="V71" s="48">
        <f t="shared" si="76"/>
        <v>4748576.58</v>
      </c>
      <c r="X71" s="44">
        <f>W70-U69</f>
        <v>-15187923.840000004</v>
      </c>
    </row>
    <row r="72" spans="1:29" ht="51" customHeight="1" x14ac:dyDescent="0.25">
      <c r="A72" s="43"/>
      <c r="B72" s="47" t="s">
        <v>316</v>
      </c>
      <c r="C72" s="249"/>
      <c r="D72" s="47" t="s">
        <v>124</v>
      </c>
      <c r="E72" s="51">
        <v>4</v>
      </c>
      <c r="F72" s="51">
        <v>2</v>
      </c>
      <c r="G72" s="51">
        <v>1</v>
      </c>
      <c r="H72" s="51">
        <f>1-1</f>
        <v>0</v>
      </c>
      <c r="I72" s="51">
        <f>1-1</f>
        <v>0</v>
      </c>
      <c r="J72" s="48">
        <v>86493.99</v>
      </c>
      <c r="K72" s="48">
        <f>43062.49+13925.43</f>
        <v>56987.92</v>
      </c>
      <c r="L72" s="49">
        <v>72362.48</v>
      </c>
      <c r="M72" s="48">
        <f t="shared" ref="M72" si="77">J72+K72+L72</f>
        <v>215844.39</v>
      </c>
      <c r="N72" s="48">
        <f t="shared" ref="N72" si="78">G72*J72</f>
        <v>86493.99</v>
      </c>
      <c r="O72" s="48">
        <f t="shared" ref="O72" si="79">G72*K72</f>
        <v>56987.92</v>
      </c>
      <c r="P72" s="51"/>
      <c r="Q72" s="48">
        <f>G72*L72</f>
        <v>72362.48</v>
      </c>
      <c r="R72" s="48"/>
      <c r="S72" s="48"/>
      <c r="T72" s="48">
        <f t="shared" ref="T72" si="80">SUM(N72:Q72)</f>
        <v>215844.39</v>
      </c>
      <c r="U72" s="48">
        <f t="shared" ref="U72" si="81">T72</f>
        <v>215844.39</v>
      </c>
      <c r="V72" s="48">
        <f t="shared" ref="V72" si="82">U72</f>
        <v>215844.39</v>
      </c>
      <c r="X72" s="44"/>
    </row>
    <row r="73" spans="1:29" ht="108.6" customHeight="1" x14ac:dyDescent="0.25">
      <c r="A73" s="47"/>
      <c r="B73" s="47" t="s">
        <v>318</v>
      </c>
      <c r="C73" s="43" t="s">
        <v>429</v>
      </c>
      <c r="D73" s="47" t="s">
        <v>124</v>
      </c>
      <c r="E73" s="51">
        <v>27</v>
      </c>
      <c r="F73" s="51">
        <v>20</v>
      </c>
      <c r="G73" s="51">
        <f>25-5</f>
        <v>20</v>
      </c>
      <c r="H73" s="51">
        <f>27-7</f>
        <v>20</v>
      </c>
      <c r="I73" s="51">
        <f>27-7</f>
        <v>20</v>
      </c>
      <c r="J73" s="48">
        <v>245948.56</v>
      </c>
      <c r="K73" s="48">
        <f>64533.72+13925.43*2</f>
        <v>92384.58</v>
      </c>
      <c r="L73" s="49">
        <v>72362.48</v>
      </c>
      <c r="M73" s="48">
        <f t="shared" si="8"/>
        <v>410695.62</v>
      </c>
      <c r="N73" s="48">
        <f>G73*J73</f>
        <v>4918971.2</v>
      </c>
      <c r="O73" s="48">
        <f>G73*K73+1625.13-1043.9-28009.16+27428.48-0.55</f>
        <v>1847691.6</v>
      </c>
      <c r="P73" s="51"/>
      <c r="Q73" s="48">
        <f>G73*L73</f>
        <v>1447249.5999999999</v>
      </c>
      <c r="R73" s="48"/>
      <c r="S73" s="48"/>
      <c r="T73" s="48">
        <f t="shared" si="75"/>
        <v>8213912.4000000004</v>
      </c>
      <c r="U73" s="48">
        <f t="shared" si="76"/>
        <v>8213912.4000000004</v>
      </c>
      <c r="V73" s="48">
        <f t="shared" si="76"/>
        <v>8213912.4000000004</v>
      </c>
    </row>
    <row r="74" spans="1:29" ht="33" customHeight="1" x14ac:dyDescent="0.25">
      <c r="A74" s="43" t="s">
        <v>527</v>
      </c>
      <c r="B74" s="47" t="s">
        <v>318</v>
      </c>
      <c r="C74" s="326" t="s">
        <v>428</v>
      </c>
      <c r="D74" s="47" t="s">
        <v>124</v>
      </c>
      <c r="E74" s="51">
        <v>1</v>
      </c>
      <c r="F74" s="51">
        <f>1</f>
        <v>1</v>
      </c>
      <c r="G74" s="52">
        <v>1</v>
      </c>
      <c r="H74" s="52">
        <v>1</v>
      </c>
      <c r="I74" s="52">
        <v>1</v>
      </c>
      <c r="J74" s="48">
        <v>132713.06</v>
      </c>
      <c r="K74" s="48">
        <f>32326.86+13925.43</f>
        <v>46252.29</v>
      </c>
      <c r="L74" s="49">
        <v>72362.48</v>
      </c>
      <c r="M74" s="48">
        <f t="shared" si="8"/>
        <v>251327.83000000002</v>
      </c>
      <c r="N74" s="48">
        <f t="shared" si="73"/>
        <v>132713.06</v>
      </c>
      <c r="O74" s="48">
        <f t="shared" si="74"/>
        <v>46252.29</v>
      </c>
      <c r="P74" s="51"/>
      <c r="Q74" s="48">
        <f t="shared" ref="Q74:Q75" si="83">G74*L74</f>
        <v>72362.48</v>
      </c>
      <c r="R74" s="48"/>
      <c r="S74" s="48"/>
      <c r="T74" s="48">
        <f t="shared" si="75"/>
        <v>251327.83000000002</v>
      </c>
      <c r="U74" s="48">
        <f t="shared" si="76"/>
        <v>251327.83000000002</v>
      </c>
      <c r="V74" s="48">
        <f t="shared" si="76"/>
        <v>251327.83000000002</v>
      </c>
    </row>
    <row r="75" spans="1:29" ht="42.6" customHeight="1" x14ac:dyDescent="0.25">
      <c r="A75" s="43"/>
      <c r="B75" s="47" t="s">
        <v>318</v>
      </c>
      <c r="C75" s="257"/>
      <c r="D75" s="47" t="s">
        <v>124</v>
      </c>
      <c r="E75" s="51">
        <v>11</v>
      </c>
      <c r="F75" s="51">
        <v>10</v>
      </c>
      <c r="G75" s="51">
        <f>11-1</f>
        <v>10</v>
      </c>
      <c r="H75" s="51">
        <f>10</f>
        <v>10</v>
      </c>
      <c r="I75" s="51">
        <f>10</f>
        <v>10</v>
      </c>
      <c r="J75" s="48">
        <v>132713.06</v>
      </c>
      <c r="K75" s="48">
        <f t="shared" ref="K75:K76" si="84">32326.86+13925.43</f>
        <v>46252.29</v>
      </c>
      <c r="L75" s="49">
        <v>72362.48</v>
      </c>
      <c r="M75" s="48">
        <f t="shared" si="8"/>
        <v>251327.83000000002</v>
      </c>
      <c r="N75" s="48">
        <f t="shared" si="73"/>
        <v>1327130.6000000001</v>
      </c>
      <c r="O75" s="48">
        <f t="shared" si="74"/>
        <v>462522.9</v>
      </c>
      <c r="P75" s="51"/>
      <c r="Q75" s="48">
        <f t="shared" si="83"/>
        <v>723624.79999999993</v>
      </c>
      <c r="R75" s="48"/>
      <c r="S75" s="48"/>
      <c r="T75" s="48">
        <f t="shared" si="75"/>
        <v>2513278.2999999998</v>
      </c>
      <c r="U75" s="48">
        <f t="shared" si="76"/>
        <v>2513278.2999999998</v>
      </c>
      <c r="V75" s="48">
        <f t="shared" si="76"/>
        <v>2513278.2999999998</v>
      </c>
    </row>
    <row r="76" spans="1:29" ht="46.15" customHeight="1" x14ac:dyDescent="0.25">
      <c r="A76" s="47"/>
      <c r="B76" s="47" t="s">
        <v>316</v>
      </c>
      <c r="C76" s="258"/>
      <c r="D76" s="47" t="s">
        <v>124</v>
      </c>
      <c r="E76" s="51">
        <v>48</v>
      </c>
      <c r="F76" s="51">
        <v>50</v>
      </c>
      <c r="G76" s="51">
        <v>52</v>
      </c>
      <c r="H76" s="51">
        <v>53</v>
      </c>
      <c r="I76" s="51">
        <v>53</v>
      </c>
      <c r="J76" s="48">
        <v>132713.06</v>
      </c>
      <c r="K76" s="48">
        <f t="shared" si="84"/>
        <v>46252.29</v>
      </c>
      <c r="L76" s="49">
        <v>72362.48</v>
      </c>
      <c r="M76" s="48">
        <f t="shared" si="8"/>
        <v>251327.83000000002</v>
      </c>
      <c r="N76" s="48">
        <f t="shared" si="73"/>
        <v>6901079.1200000001</v>
      </c>
      <c r="O76" s="49">
        <f t="shared" si="74"/>
        <v>2405119.08</v>
      </c>
      <c r="P76" s="51"/>
      <c r="Q76" s="48">
        <f>G76*L76</f>
        <v>3762848.96</v>
      </c>
      <c r="R76" s="48"/>
      <c r="S76" s="48"/>
      <c r="T76" s="48">
        <f t="shared" si="75"/>
        <v>13069047.16</v>
      </c>
      <c r="U76" s="48">
        <f t="shared" si="76"/>
        <v>13069047.16</v>
      </c>
      <c r="V76" s="48">
        <f t="shared" si="76"/>
        <v>13069047.16</v>
      </c>
      <c r="W76" s="44">
        <f>T76-U76</f>
        <v>0</v>
      </c>
    </row>
    <row r="77" spans="1:29" ht="95.45" customHeight="1" x14ac:dyDescent="0.25">
      <c r="A77" s="47"/>
      <c r="B77" s="47" t="s">
        <v>318</v>
      </c>
      <c r="C77" s="223" t="s">
        <v>430</v>
      </c>
      <c r="D77" s="47" t="s">
        <v>124</v>
      </c>
      <c r="E77" s="51">
        <v>27</v>
      </c>
      <c r="F77" s="51">
        <v>20</v>
      </c>
      <c r="G77" s="51">
        <f>20</f>
        <v>20</v>
      </c>
      <c r="H77" s="51">
        <f>20</f>
        <v>20</v>
      </c>
      <c r="I77" s="51">
        <f>20</f>
        <v>20</v>
      </c>
      <c r="J77" s="48">
        <v>7263.1</v>
      </c>
      <c r="K77" s="48">
        <v>0</v>
      </c>
      <c r="L77" s="48">
        <v>0</v>
      </c>
      <c r="M77" s="48">
        <f t="shared" si="8"/>
        <v>7263.1</v>
      </c>
      <c r="N77" s="48">
        <f t="shared" si="73"/>
        <v>145262</v>
      </c>
      <c r="O77" s="48">
        <f t="shared" si="74"/>
        <v>0</v>
      </c>
      <c r="P77" s="51"/>
      <c r="Q77" s="48">
        <f>G77*L77</f>
        <v>0</v>
      </c>
      <c r="R77" s="48"/>
      <c r="S77" s="48"/>
      <c r="T77" s="48">
        <f>N77</f>
        <v>145262</v>
      </c>
      <c r="U77" s="48">
        <f t="shared" si="76"/>
        <v>145262</v>
      </c>
      <c r="V77" s="48">
        <f t="shared" si="76"/>
        <v>145262</v>
      </c>
      <c r="W77" s="44"/>
    </row>
    <row r="78" spans="1:29" ht="66.599999999999994" customHeight="1" x14ac:dyDescent="0.25">
      <c r="A78" s="47"/>
      <c r="B78" s="47" t="s">
        <v>318</v>
      </c>
      <c r="C78" s="246" t="s">
        <v>431</v>
      </c>
      <c r="D78" s="47" t="s">
        <v>124</v>
      </c>
      <c r="E78" s="51">
        <v>12</v>
      </c>
      <c r="F78" s="51">
        <f>12-3</f>
        <v>9</v>
      </c>
      <c r="G78" s="51">
        <f>11-1</f>
        <v>10</v>
      </c>
      <c r="H78" s="51">
        <f>12-2</f>
        <v>10</v>
      </c>
      <c r="I78" s="51">
        <f>12-2</f>
        <v>10</v>
      </c>
      <c r="J78" s="48">
        <v>4842.07</v>
      </c>
      <c r="K78" s="48">
        <v>0</v>
      </c>
      <c r="L78" s="48">
        <v>0</v>
      </c>
      <c r="M78" s="48">
        <f t="shared" si="8"/>
        <v>4842.07</v>
      </c>
      <c r="N78" s="48">
        <f t="shared" si="73"/>
        <v>48420.7</v>
      </c>
      <c r="O78" s="48">
        <f t="shared" si="74"/>
        <v>0</v>
      </c>
      <c r="P78" s="51"/>
      <c r="Q78" s="48">
        <f>G78*L78</f>
        <v>0</v>
      </c>
      <c r="R78" s="48"/>
      <c r="S78" s="48"/>
      <c r="T78" s="48">
        <f>N78</f>
        <v>48420.7</v>
      </c>
      <c r="U78" s="48">
        <f t="shared" si="76"/>
        <v>48420.7</v>
      </c>
      <c r="V78" s="48">
        <f t="shared" si="76"/>
        <v>48420.7</v>
      </c>
    </row>
    <row r="79" spans="1:29" ht="27" customHeight="1" x14ac:dyDescent="0.25">
      <c r="A79" s="47"/>
      <c r="B79" s="47" t="s">
        <v>321</v>
      </c>
      <c r="C79" s="249"/>
      <c r="D79" s="47" t="s">
        <v>124</v>
      </c>
      <c r="E79" s="51">
        <v>48</v>
      </c>
      <c r="F79" s="51">
        <v>52</v>
      </c>
      <c r="G79" s="51">
        <f>50+3</f>
        <v>53</v>
      </c>
      <c r="H79" s="51">
        <f>48+2+3</f>
        <v>53</v>
      </c>
      <c r="I79" s="51">
        <f>48+2+3</f>
        <v>53</v>
      </c>
      <c r="J79" s="48">
        <v>4842.07</v>
      </c>
      <c r="K79" s="48">
        <v>0</v>
      </c>
      <c r="L79" s="48">
        <v>0</v>
      </c>
      <c r="M79" s="48">
        <f t="shared" si="8"/>
        <v>4842.07</v>
      </c>
      <c r="N79" s="48">
        <f t="shared" si="73"/>
        <v>256629.71</v>
      </c>
      <c r="O79" s="48">
        <f t="shared" si="74"/>
        <v>0</v>
      </c>
      <c r="P79" s="51"/>
      <c r="Q79" s="48">
        <f t="shared" ref="Q79:Q82" si="85">G79*L79</f>
        <v>0</v>
      </c>
      <c r="R79" s="48"/>
      <c r="S79" s="48"/>
      <c r="T79" s="48">
        <f>N79</f>
        <v>256629.71</v>
      </c>
      <c r="U79" s="48">
        <f t="shared" si="76"/>
        <v>256629.71</v>
      </c>
      <c r="V79" s="48">
        <f t="shared" si="76"/>
        <v>256629.71</v>
      </c>
    </row>
    <row r="80" spans="1:29" ht="27" customHeight="1" x14ac:dyDescent="0.25">
      <c r="A80" s="47"/>
      <c r="B80" s="47" t="s">
        <v>321</v>
      </c>
      <c r="C80" s="330" t="s">
        <v>287</v>
      </c>
      <c r="D80" s="47"/>
      <c r="E80" s="51">
        <v>4</v>
      </c>
      <c r="F80" s="51">
        <v>4</v>
      </c>
      <c r="G80" s="51">
        <v>5</v>
      </c>
      <c r="H80" s="51">
        <v>5</v>
      </c>
      <c r="I80" s="51">
        <v>5</v>
      </c>
      <c r="J80" s="48">
        <v>4842.07</v>
      </c>
      <c r="K80" s="48">
        <v>0</v>
      </c>
      <c r="L80" s="48">
        <v>0</v>
      </c>
      <c r="M80" s="48">
        <f t="shared" ref="M80" si="86">J80+K80+L80</f>
        <v>4842.07</v>
      </c>
      <c r="N80" s="48">
        <f t="shared" ref="N80" si="87">G80*J80</f>
        <v>24210.35</v>
      </c>
      <c r="O80" s="48">
        <f t="shared" ref="O80" si="88">G80*K80</f>
        <v>0</v>
      </c>
      <c r="P80" s="51"/>
      <c r="Q80" s="48">
        <f t="shared" ref="Q80" si="89">G80*L80</f>
        <v>0</v>
      </c>
      <c r="R80" s="48"/>
      <c r="S80" s="48"/>
      <c r="T80" s="48">
        <f>N80</f>
        <v>24210.35</v>
      </c>
      <c r="U80" s="48">
        <f t="shared" ref="U80" si="90">T80</f>
        <v>24210.35</v>
      </c>
      <c r="V80" s="48">
        <f t="shared" ref="V80" si="91">U80</f>
        <v>24210.35</v>
      </c>
    </row>
    <row r="81" spans="1:29" ht="49.9" customHeight="1" x14ac:dyDescent="0.25">
      <c r="A81" s="47"/>
      <c r="B81" s="47" t="s">
        <v>123</v>
      </c>
      <c r="C81" s="330"/>
      <c r="D81" s="47" t="s">
        <v>124</v>
      </c>
      <c r="E81" s="51">
        <v>17</v>
      </c>
      <c r="F81" s="51">
        <v>18</v>
      </c>
      <c r="G81" s="51">
        <v>18</v>
      </c>
      <c r="H81" s="51">
        <v>18</v>
      </c>
      <c r="I81" s="51">
        <v>18</v>
      </c>
      <c r="J81" s="48">
        <v>4842.07</v>
      </c>
      <c r="K81" s="48">
        <v>0</v>
      </c>
      <c r="L81" s="48">
        <v>0</v>
      </c>
      <c r="M81" s="48">
        <f t="shared" si="8"/>
        <v>4842.07</v>
      </c>
      <c r="N81" s="48">
        <f t="shared" si="73"/>
        <v>87157.26</v>
      </c>
      <c r="O81" s="48">
        <f t="shared" si="74"/>
        <v>0</v>
      </c>
      <c r="P81" s="51"/>
      <c r="Q81" s="48">
        <f t="shared" si="85"/>
        <v>0</v>
      </c>
      <c r="R81" s="48"/>
      <c r="S81" s="48"/>
      <c r="T81" s="48">
        <f>N81</f>
        <v>87157.26</v>
      </c>
      <c r="U81" s="48">
        <f t="shared" si="76"/>
        <v>87157.26</v>
      </c>
      <c r="V81" s="48">
        <f t="shared" si="76"/>
        <v>87157.26</v>
      </c>
    </row>
    <row r="82" spans="1:29" ht="59.45" customHeight="1" x14ac:dyDescent="0.25">
      <c r="A82" s="43" t="s">
        <v>127</v>
      </c>
      <c r="B82" s="47" t="s">
        <v>131</v>
      </c>
      <c r="C82" s="47" t="s">
        <v>54</v>
      </c>
      <c r="D82" s="47" t="s">
        <v>124</v>
      </c>
      <c r="E82" s="51">
        <f>E71+E73+E74+E76+E75+E72</f>
        <v>108</v>
      </c>
      <c r="F82" s="52">
        <f>F71+F72+F73+F74+F75+F76</f>
        <v>103</v>
      </c>
      <c r="G82" s="51">
        <f>G71+G72+G73+G74+G75+G76</f>
        <v>106</v>
      </c>
      <c r="H82" s="51">
        <f t="shared" ref="H82:I82" si="92">H71+H73+H74+H76+H75+H72</f>
        <v>106</v>
      </c>
      <c r="I82" s="51">
        <f t="shared" si="92"/>
        <v>106</v>
      </c>
      <c r="J82" s="48">
        <v>0</v>
      </c>
      <c r="K82" s="48">
        <v>0</v>
      </c>
      <c r="L82" s="49">
        <f>61511.06</f>
        <v>61511.06</v>
      </c>
      <c r="M82" s="48">
        <f>J82+K82+L82</f>
        <v>61511.06</v>
      </c>
      <c r="N82" s="320">
        <f>E82*J82</f>
        <v>0</v>
      </c>
      <c r="O82" s="48">
        <f>G82*K82</f>
        <v>0</v>
      </c>
      <c r="P82" s="51"/>
      <c r="Q82" s="49">
        <f t="shared" si="85"/>
        <v>6520172.3599999994</v>
      </c>
      <c r="R82" s="48"/>
      <c r="S82" s="48"/>
      <c r="T82" s="49">
        <f>SUM(N82:Q82)</f>
        <v>6520172.3599999994</v>
      </c>
      <c r="U82" s="48">
        <f t="shared" si="76"/>
        <v>6520172.3599999994</v>
      </c>
      <c r="V82" s="48">
        <f t="shared" si="76"/>
        <v>6520172.3599999994</v>
      </c>
    </row>
    <row r="83" spans="1:29" ht="21" customHeight="1" x14ac:dyDescent="0.25">
      <c r="A83" s="47" t="s">
        <v>496</v>
      </c>
      <c r="B83" s="47" t="s">
        <v>131</v>
      </c>
      <c r="C83" s="47" t="s">
        <v>129</v>
      </c>
      <c r="D83" s="47"/>
      <c r="E83" s="51"/>
      <c r="F83" s="51"/>
      <c r="G83" s="52">
        <f>G82</f>
        <v>106</v>
      </c>
      <c r="H83" s="52">
        <f>H82</f>
        <v>106</v>
      </c>
      <c r="I83" s="52">
        <f>I82</f>
        <v>106</v>
      </c>
      <c r="J83" s="48">
        <v>0</v>
      </c>
      <c r="K83" s="48">
        <v>0</v>
      </c>
      <c r="L83" s="49">
        <v>20437.68</v>
      </c>
      <c r="M83" s="48">
        <f t="shared" si="8"/>
        <v>20437.68</v>
      </c>
      <c r="N83" s="51"/>
      <c r="O83" s="48"/>
      <c r="P83" s="51"/>
      <c r="Q83" s="48"/>
      <c r="R83" s="48"/>
      <c r="S83" s="49">
        <f>G83*L83</f>
        <v>2166394.08</v>
      </c>
      <c r="T83" s="49">
        <f>S83</f>
        <v>2166394.08</v>
      </c>
      <c r="U83" s="48">
        <f>T83</f>
        <v>2166394.08</v>
      </c>
      <c r="V83" s="48">
        <f>U83</f>
        <v>2166394.08</v>
      </c>
    </row>
    <row r="84" spans="1:29" ht="28.9" customHeight="1" x14ac:dyDescent="0.25">
      <c r="A84" s="246" t="s">
        <v>605</v>
      </c>
      <c r="B84" s="229" t="s">
        <v>495</v>
      </c>
      <c r="C84" s="47"/>
      <c r="D84" s="37" t="s">
        <v>24</v>
      </c>
      <c r="E84" s="51"/>
      <c r="F84" s="51">
        <v>24</v>
      </c>
      <c r="G84" s="51">
        <v>24</v>
      </c>
      <c r="H84" s="51">
        <v>0</v>
      </c>
      <c r="I84" s="51">
        <v>0</v>
      </c>
      <c r="J84" s="48">
        <v>0</v>
      </c>
      <c r="K84" s="48"/>
      <c r="L84" s="49"/>
      <c r="M84" s="48">
        <f>J84+K84+L84</f>
        <v>0</v>
      </c>
      <c r="N84" s="48">
        <f>G84*J84</f>
        <v>0</v>
      </c>
      <c r="O84" s="48"/>
      <c r="P84" s="51"/>
      <c r="Q84" s="48"/>
      <c r="R84" s="48"/>
      <c r="S84" s="48"/>
      <c r="T84" s="48">
        <f>SUM(N84:Q84)</f>
        <v>0</v>
      </c>
      <c r="U84" s="48"/>
      <c r="V84" s="48"/>
    </row>
    <row r="85" spans="1:29" ht="25.9" customHeight="1" x14ac:dyDescent="0.25">
      <c r="A85" s="249"/>
      <c r="B85" s="230"/>
      <c r="C85" s="47" t="s">
        <v>607</v>
      </c>
      <c r="D85" s="298" t="s">
        <v>225</v>
      </c>
      <c r="E85" s="51">
        <v>0</v>
      </c>
      <c r="F85" s="51">
        <f>26*F84</f>
        <v>624</v>
      </c>
      <c r="G85" s="52">
        <f>15*2*G84</f>
        <v>720</v>
      </c>
      <c r="H85" s="51">
        <v>0</v>
      </c>
      <c r="I85" s="51">
        <v>0</v>
      </c>
      <c r="J85" s="49">
        <v>341.23</v>
      </c>
      <c r="K85" s="48"/>
      <c r="L85" s="49"/>
      <c r="M85" s="48">
        <f>J85+K85+L85</f>
        <v>341.23</v>
      </c>
      <c r="N85" s="49">
        <f>G85*J85-263.85</f>
        <v>245421.75</v>
      </c>
      <c r="O85" s="48">
        <v>0</v>
      </c>
      <c r="P85" s="51"/>
      <c r="Q85" s="48">
        <v>0</v>
      </c>
      <c r="R85" s="48"/>
      <c r="S85" s="48"/>
      <c r="T85" s="49">
        <f>SUM(N85:Q85)</f>
        <v>245421.75</v>
      </c>
      <c r="U85" s="48">
        <f>H85*J85</f>
        <v>0</v>
      </c>
      <c r="V85" s="48">
        <f>I85*J85</f>
        <v>0</v>
      </c>
    </row>
    <row r="86" spans="1:29" ht="21" customHeight="1" x14ac:dyDescent="0.25">
      <c r="A86" s="47"/>
      <c r="B86" s="47"/>
      <c r="C86" s="162" t="s">
        <v>38</v>
      </c>
      <c r="D86" s="47"/>
      <c r="E86" s="51"/>
      <c r="F86" s="51">
        <v>24</v>
      </c>
      <c r="G86" s="52">
        <f>G84</f>
        <v>24</v>
      </c>
      <c r="H86" s="51">
        <f>H84</f>
        <v>0</v>
      </c>
      <c r="I86" s="51">
        <f>I84</f>
        <v>0</v>
      </c>
      <c r="J86" s="48" t="s">
        <v>26</v>
      </c>
      <c r="K86" s="48" t="s">
        <v>26</v>
      </c>
      <c r="L86" s="49" t="s">
        <v>26</v>
      </c>
      <c r="M86" s="48"/>
      <c r="N86" s="51"/>
      <c r="O86" s="48"/>
      <c r="P86" s="51"/>
      <c r="Q86" s="48"/>
      <c r="R86" s="48"/>
      <c r="S86" s="48"/>
      <c r="T86" s="48"/>
      <c r="U86" s="48"/>
      <c r="V86" s="48"/>
    </row>
    <row r="87" spans="1:29" ht="25.9" customHeight="1" x14ac:dyDescent="0.25">
      <c r="A87" s="46" t="s">
        <v>140</v>
      </c>
      <c r="B87" s="46"/>
      <c r="C87" s="46"/>
      <c r="D87" s="46"/>
      <c r="E87" s="52"/>
      <c r="F87" s="52"/>
      <c r="G87" s="52"/>
      <c r="H87" s="52"/>
      <c r="I87" s="52"/>
      <c r="J87" s="49"/>
      <c r="K87" s="48"/>
      <c r="L87" s="49"/>
      <c r="M87" s="48">
        <f t="shared" si="8"/>
        <v>0</v>
      </c>
      <c r="N87" s="49">
        <f>N88+N101</f>
        <v>14614358.710000001</v>
      </c>
      <c r="O87" s="49">
        <f>O88</f>
        <v>5414687.7300000004</v>
      </c>
      <c r="P87" s="52"/>
      <c r="Q87" s="49">
        <f>Q88+Q98</f>
        <v>12985733.379999999</v>
      </c>
      <c r="R87" s="49"/>
      <c r="S87" s="49">
        <f>S99</f>
        <v>1982454.96</v>
      </c>
      <c r="T87" s="49">
        <f>T88+T98+T99+T101</f>
        <v>34997234.780000001</v>
      </c>
      <c r="U87" s="49">
        <f>U88+U98+U99+U101</f>
        <v>35062535.149999999</v>
      </c>
      <c r="V87" s="49">
        <f>V88+V98+V99</f>
        <v>34767285.579999998</v>
      </c>
      <c r="W87" s="44">
        <v>6315385.3799999999</v>
      </c>
      <c r="X87" s="44">
        <f>W87-Q87</f>
        <v>-6670347.9999999991</v>
      </c>
      <c r="Y87" s="38">
        <f>X87/G98</f>
        <v>-68766.474226804115</v>
      </c>
      <c r="AA87" s="38">
        <v>5964695.5300000003</v>
      </c>
      <c r="AB87" s="44">
        <f>AA87-Q87</f>
        <v>-7021037.8499999987</v>
      </c>
      <c r="AC87" s="38">
        <f>AB87/I98</f>
        <v>-72381.833505154631</v>
      </c>
    </row>
    <row r="88" spans="1:29" ht="72" customHeight="1" x14ac:dyDescent="0.25">
      <c r="A88" s="43" t="s">
        <v>121</v>
      </c>
      <c r="B88" s="41" t="s">
        <v>122</v>
      </c>
      <c r="C88" s="41"/>
      <c r="D88" s="47"/>
      <c r="E88" s="51"/>
      <c r="F88" s="51"/>
      <c r="G88" s="51"/>
      <c r="H88" s="51"/>
      <c r="I88" s="51"/>
      <c r="J88" s="48"/>
      <c r="K88" s="48"/>
      <c r="L88" s="48"/>
      <c r="M88" s="48"/>
      <c r="N88" s="48">
        <f>SUM(N89:N97)</f>
        <v>14384409.510000002</v>
      </c>
      <c r="O88" s="48">
        <f>SUM(O89:O97)</f>
        <v>5414687.7300000004</v>
      </c>
      <c r="P88" s="51"/>
      <c r="Q88" s="49">
        <f>SUM(Q89:Q97)</f>
        <v>7019160.5599999996</v>
      </c>
      <c r="R88" s="48"/>
      <c r="S88" s="48"/>
      <c r="T88" s="49">
        <f>SUM(T89:T97)</f>
        <v>26818257.800000001</v>
      </c>
      <c r="U88" s="48">
        <f>SUM(U89:U97)</f>
        <v>26818257.800000001</v>
      </c>
      <c r="V88" s="48">
        <f>SUM(V89:V97)</f>
        <v>26818257.800000001</v>
      </c>
      <c r="W88" s="44">
        <v>15874228.029999999</v>
      </c>
      <c r="AA88" s="44">
        <f>15874228.03+U99</f>
        <v>17856682.989999998</v>
      </c>
      <c r="AB88" s="44">
        <f>U87-AA88</f>
        <v>17205852.16</v>
      </c>
    </row>
    <row r="89" spans="1:29" ht="106.9" customHeight="1" x14ac:dyDescent="0.25">
      <c r="A89" s="43"/>
      <c r="B89" s="47" t="s">
        <v>123</v>
      </c>
      <c r="C89" s="43" t="s">
        <v>285</v>
      </c>
      <c r="D89" s="47" t="s">
        <v>124</v>
      </c>
      <c r="E89" s="51">
        <v>22</v>
      </c>
      <c r="F89" s="51">
        <f>22-7</f>
        <v>15</v>
      </c>
      <c r="G89" s="51">
        <v>15</v>
      </c>
      <c r="H89" s="51">
        <v>15</v>
      </c>
      <c r="I89" s="51">
        <v>15</v>
      </c>
      <c r="J89" s="48">
        <v>86493.99</v>
      </c>
      <c r="K89" s="48">
        <f>43062.49+14596.83*1</f>
        <v>57659.32</v>
      </c>
      <c r="L89" s="49">
        <v>72362.48</v>
      </c>
      <c r="M89" s="48">
        <f t="shared" si="8"/>
        <v>216515.78999999998</v>
      </c>
      <c r="N89" s="48">
        <f>G89*J89</f>
        <v>1297409.8500000001</v>
      </c>
      <c r="O89" s="48">
        <f>G89*K89</f>
        <v>864889.8</v>
      </c>
      <c r="P89" s="51"/>
      <c r="Q89" s="48">
        <f>G89*L89</f>
        <v>1085437.2</v>
      </c>
      <c r="R89" s="48"/>
      <c r="S89" s="48"/>
      <c r="T89" s="48">
        <f>SUM(N89:Q89)</f>
        <v>3247736.8500000006</v>
      </c>
      <c r="U89" s="48">
        <f>T89</f>
        <v>3247736.8500000006</v>
      </c>
      <c r="V89" s="48">
        <f>U89</f>
        <v>3247736.8500000006</v>
      </c>
    </row>
    <row r="90" spans="1:29" ht="106.9" customHeight="1" x14ac:dyDescent="0.25">
      <c r="A90" s="43"/>
      <c r="B90" s="47" t="s">
        <v>318</v>
      </c>
      <c r="C90" s="43" t="s">
        <v>449</v>
      </c>
      <c r="D90" s="47" t="s">
        <v>124</v>
      </c>
      <c r="E90" s="51">
        <v>12</v>
      </c>
      <c r="F90" s="51">
        <v>15</v>
      </c>
      <c r="G90" s="51">
        <v>15</v>
      </c>
      <c r="H90" s="51">
        <v>15</v>
      </c>
      <c r="I90" s="51">
        <v>15</v>
      </c>
      <c r="J90" s="48">
        <v>245948.56</v>
      </c>
      <c r="K90" s="48">
        <f>64533.72+14596.83*2</f>
        <v>93727.38</v>
      </c>
      <c r="L90" s="49">
        <v>72362.48</v>
      </c>
      <c r="M90" s="48">
        <f t="shared" ref="M90" si="93">J90+K90+L90</f>
        <v>412038.42</v>
      </c>
      <c r="N90" s="48">
        <f>G90*J90</f>
        <v>3689228.4</v>
      </c>
      <c r="O90" s="48">
        <f>G90*K90+21293.41-21293.41</f>
        <v>1405910.7000000002</v>
      </c>
      <c r="P90" s="51"/>
      <c r="Q90" s="48">
        <f>G90*L90</f>
        <v>1085437.2</v>
      </c>
      <c r="R90" s="48"/>
      <c r="S90" s="48"/>
      <c r="T90" s="48">
        <f>SUM(N90:Q90)</f>
        <v>6180576.2999999998</v>
      </c>
      <c r="U90" s="48">
        <f>T90</f>
        <v>6180576.2999999998</v>
      </c>
      <c r="V90" s="48">
        <f>U90</f>
        <v>6180576.2999999998</v>
      </c>
    </row>
    <row r="91" spans="1:29" ht="48.6" customHeight="1" x14ac:dyDescent="0.25">
      <c r="A91" s="43"/>
      <c r="B91" s="47" t="s">
        <v>316</v>
      </c>
      <c r="C91" s="250" t="s">
        <v>450</v>
      </c>
      <c r="D91" s="47" t="s">
        <v>124</v>
      </c>
      <c r="E91" s="51">
        <v>59</v>
      </c>
      <c r="F91" s="51">
        <v>58</v>
      </c>
      <c r="G91" s="51">
        <f>59-4</f>
        <v>55</v>
      </c>
      <c r="H91" s="51">
        <f>58-3</f>
        <v>55</v>
      </c>
      <c r="I91" s="51">
        <f>58-3</f>
        <v>55</v>
      </c>
      <c r="J91" s="48">
        <v>132713.06</v>
      </c>
      <c r="K91" s="48">
        <f>32326.86+14596.83</f>
        <v>46923.69</v>
      </c>
      <c r="L91" s="49">
        <v>72362.48</v>
      </c>
      <c r="M91" s="48">
        <f t="shared" si="8"/>
        <v>251999.22999999998</v>
      </c>
      <c r="N91" s="48">
        <f t="shared" ref="N91:N98" si="94">G91*J91</f>
        <v>7299218.2999999998</v>
      </c>
      <c r="O91" s="48">
        <f>G91*K91</f>
        <v>2580802.9500000002</v>
      </c>
      <c r="P91" s="51"/>
      <c r="Q91" s="48">
        <f>G91*L91</f>
        <v>3979936.4</v>
      </c>
      <c r="R91" s="48"/>
      <c r="S91" s="48"/>
      <c r="T91" s="48">
        <f t="shared" ref="T91:T98" si="95">SUM(N91:Q91)</f>
        <v>13859957.65</v>
      </c>
      <c r="U91" s="48">
        <f t="shared" ref="U91:V98" si="96">T91</f>
        <v>13859957.65</v>
      </c>
      <c r="V91" s="48">
        <f>U91</f>
        <v>13859957.65</v>
      </c>
      <c r="X91" s="44">
        <f>W88-U87</f>
        <v>-19188307.119999997</v>
      </c>
    </row>
    <row r="92" spans="1:29" ht="40.15" customHeight="1" x14ac:dyDescent="0.25">
      <c r="A92" s="43"/>
      <c r="B92" s="47" t="s">
        <v>318</v>
      </c>
      <c r="C92" s="321"/>
      <c r="D92" s="47" t="s">
        <v>124</v>
      </c>
      <c r="E92" s="51">
        <v>11</v>
      </c>
      <c r="F92" s="51">
        <v>8</v>
      </c>
      <c r="G92" s="51">
        <v>12</v>
      </c>
      <c r="H92" s="51">
        <v>12</v>
      </c>
      <c r="I92" s="51">
        <v>12</v>
      </c>
      <c r="J92" s="48">
        <v>132713.06</v>
      </c>
      <c r="K92" s="48">
        <f t="shared" ref="K92:K93" si="97">32326.86+14596.83</f>
        <v>46923.69</v>
      </c>
      <c r="L92" s="49">
        <v>72362.48</v>
      </c>
      <c r="M92" s="48">
        <f t="shared" si="8"/>
        <v>251999.22999999998</v>
      </c>
      <c r="N92" s="48">
        <f>G92*J92</f>
        <v>1592556.72</v>
      </c>
      <c r="O92" s="48">
        <f t="shared" ref="O92" si="98">G92*K92</f>
        <v>563084.28</v>
      </c>
      <c r="P92" s="51"/>
      <c r="Q92" s="48">
        <f t="shared" ref="Q92" si="99">G92*L92</f>
        <v>868349.76</v>
      </c>
      <c r="R92" s="48"/>
      <c r="S92" s="48"/>
      <c r="T92" s="48">
        <f>SUM(N92:Q92)</f>
        <v>3023990.76</v>
      </c>
      <c r="U92" s="48">
        <f t="shared" si="96"/>
        <v>3023990.76</v>
      </c>
      <c r="V92" s="48">
        <f t="shared" si="96"/>
        <v>3023990.76</v>
      </c>
    </row>
    <row r="93" spans="1:29" ht="39.6" customHeight="1" x14ac:dyDescent="0.25">
      <c r="A93" s="43" t="s">
        <v>550</v>
      </c>
      <c r="B93" s="47" t="s">
        <v>316</v>
      </c>
      <c r="C93" s="318"/>
      <c r="D93" s="47" t="s">
        <v>124</v>
      </c>
      <c r="E93" s="51">
        <v>1</v>
      </c>
      <c r="F93" s="51">
        <v>1</v>
      </c>
      <c r="G93" s="51">
        <v>0</v>
      </c>
      <c r="H93" s="51">
        <v>0</v>
      </c>
      <c r="I93" s="51">
        <v>0</v>
      </c>
      <c r="J93" s="48">
        <v>132713.06</v>
      </c>
      <c r="K93" s="48">
        <f t="shared" si="97"/>
        <v>46923.69</v>
      </c>
      <c r="L93" s="49">
        <v>72362.48</v>
      </c>
      <c r="M93" s="48">
        <f t="shared" si="8"/>
        <v>251999.22999999998</v>
      </c>
      <c r="N93" s="48">
        <f>G93*J93</f>
        <v>0</v>
      </c>
      <c r="O93" s="48">
        <f>G93*K93</f>
        <v>0</v>
      </c>
      <c r="P93" s="51"/>
      <c r="Q93" s="48">
        <f>G93*L93</f>
        <v>0</v>
      </c>
      <c r="R93" s="48"/>
      <c r="S93" s="48"/>
      <c r="T93" s="48">
        <f t="shared" si="95"/>
        <v>0</v>
      </c>
      <c r="U93" s="48">
        <f t="shared" si="96"/>
        <v>0</v>
      </c>
      <c r="V93" s="48">
        <f>U93</f>
        <v>0</v>
      </c>
    </row>
    <row r="94" spans="1:29" ht="85.9" customHeight="1" x14ac:dyDescent="0.25">
      <c r="A94" s="222"/>
      <c r="B94" s="47" t="s">
        <v>139</v>
      </c>
      <c r="C94" s="222" t="s">
        <v>288</v>
      </c>
      <c r="D94" s="47" t="s">
        <v>124</v>
      </c>
      <c r="E94" s="51">
        <v>22</v>
      </c>
      <c r="F94" s="51">
        <f>22-7</f>
        <v>15</v>
      </c>
      <c r="G94" s="51">
        <v>15</v>
      </c>
      <c r="H94" s="51">
        <v>15</v>
      </c>
      <c r="I94" s="51">
        <v>15</v>
      </c>
      <c r="J94" s="48">
        <v>4842.07</v>
      </c>
      <c r="K94" s="48">
        <v>0</v>
      </c>
      <c r="L94" s="48">
        <v>0</v>
      </c>
      <c r="M94" s="48">
        <f t="shared" si="8"/>
        <v>4842.07</v>
      </c>
      <c r="N94" s="48">
        <f>G94*J94</f>
        <v>72631.049999999988</v>
      </c>
      <c r="O94" s="48">
        <f t="shared" ref="O94:O97" si="100">G94*K94</f>
        <v>0</v>
      </c>
      <c r="P94" s="51"/>
      <c r="Q94" s="48">
        <f>G94*L94</f>
        <v>0</v>
      </c>
      <c r="R94" s="48"/>
      <c r="S94" s="48"/>
      <c r="T94" s="48">
        <f t="shared" si="95"/>
        <v>72631.049999999988</v>
      </c>
      <c r="U94" s="48">
        <f t="shared" si="96"/>
        <v>72631.049999999988</v>
      </c>
      <c r="V94" s="48">
        <f t="shared" si="96"/>
        <v>72631.049999999988</v>
      </c>
    </row>
    <row r="95" spans="1:29" ht="105" customHeight="1" x14ac:dyDescent="0.25">
      <c r="A95" s="222"/>
      <c r="B95" s="47" t="s">
        <v>322</v>
      </c>
      <c r="C95" s="43" t="s">
        <v>562</v>
      </c>
      <c r="D95" s="47" t="s">
        <v>124</v>
      </c>
      <c r="E95" s="51">
        <v>12</v>
      </c>
      <c r="F95" s="51">
        <v>15</v>
      </c>
      <c r="G95" s="51">
        <v>15</v>
      </c>
      <c r="H95" s="51">
        <v>15</v>
      </c>
      <c r="I95" s="51">
        <v>15</v>
      </c>
      <c r="J95" s="48">
        <v>7263.1</v>
      </c>
      <c r="K95" s="48">
        <v>0</v>
      </c>
      <c r="L95" s="48">
        <v>0</v>
      </c>
      <c r="M95" s="48">
        <f t="shared" ref="M95:M186" si="101">J95+K95+L95</f>
        <v>7263.1</v>
      </c>
      <c r="N95" s="48">
        <f t="shared" si="94"/>
        <v>108946.5</v>
      </c>
      <c r="O95" s="48">
        <f t="shared" si="100"/>
        <v>0</v>
      </c>
      <c r="P95" s="51"/>
      <c r="Q95" s="48">
        <f>G95*L95</f>
        <v>0</v>
      </c>
      <c r="R95" s="48"/>
      <c r="S95" s="48"/>
      <c r="T95" s="48">
        <f t="shared" si="95"/>
        <v>108946.5</v>
      </c>
      <c r="U95" s="48">
        <f t="shared" si="96"/>
        <v>108946.5</v>
      </c>
      <c r="V95" s="48">
        <f>U95</f>
        <v>108946.5</v>
      </c>
    </row>
    <row r="96" spans="1:29" ht="47.45" customHeight="1" x14ac:dyDescent="0.25">
      <c r="A96" s="222"/>
      <c r="B96" s="47" t="s">
        <v>322</v>
      </c>
      <c r="C96" s="246" t="s">
        <v>289</v>
      </c>
      <c r="D96" s="47" t="s">
        <v>124</v>
      </c>
      <c r="E96" s="51">
        <v>11</v>
      </c>
      <c r="F96" s="51">
        <v>8</v>
      </c>
      <c r="G96" s="51">
        <v>7</v>
      </c>
      <c r="H96" s="51">
        <v>7</v>
      </c>
      <c r="I96" s="51">
        <v>7</v>
      </c>
      <c r="J96" s="48">
        <v>4842.07</v>
      </c>
      <c r="K96" s="48">
        <v>0</v>
      </c>
      <c r="L96" s="48">
        <v>0</v>
      </c>
      <c r="M96" s="48">
        <f t="shared" si="101"/>
        <v>4842.07</v>
      </c>
      <c r="N96" s="48">
        <f t="shared" si="94"/>
        <v>33894.49</v>
      </c>
      <c r="O96" s="48">
        <f t="shared" si="100"/>
        <v>0</v>
      </c>
      <c r="P96" s="51"/>
      <c r="Q96" s="48">
        <f t="shared" ref="Q96:Q97" si="102">G96*L96</f>
        <v>0</v>
      </c>
      <c r="R96" s="48"/>
      <c r="S96" s="48"/>
      <c r="T96" s="48">
        <f t="shared" si="95"/>
        <v>33894.49</v>
      </c>
      <c r="U96" s="48">
        <f t="shared" si="96"/>
        <v>33894.49</v>
      </c>
      <c r="V96" s="48">
        <f t="shared" si="96"/>
        <v>33894.49</v>
      </c>
    </row>
    <row r="97" spans="1:29" ht="43.15" customHeight="1" x14ac:dyDescent="0.25">
      <c r="A97" s="222"/>
      <c r="B97" s="47" t="s">
        <v>321</v>
      </c>
      <c r="C97" s="249"/>
      <c r="D97" s="47" t="s">
        <v>124</v>
      </c>
      <c r="E97" s="51">
        <v>60</v>
      </c>
      <c r="F97" s="51">
        <f>60-1</f>
        <v>59</v>
      </c>
      <c r="G97" s="51">
        <v>60</v>
      </c>
      <c r="H97" s="51">
        <v>60</v>
      </c>
      <c r="I97" s="51">
        <v>60</v>
      </c>
      <c r="J97" s="48">
        <v>4842.07</v>
      </c>
      <c r="K97" s="48">
        <v>0</v>
      </c>
      <c r="L97" s="48">
        <v>0</v>
      </c>
      <c r="M97" s="48">
        <f t="shared" si="101"/>
        <v>4842.07</v>
      </c>
      <c r="N97" s="48">
        <f>G97*J97</f>
        <v>290524.19999999995</v>
      </c>
      <c r="O97" s="48">
        <f t="shared" si="100"/>
        <v>0</v>
      </c>
      <c r="P97" s="51"/>
      <c r="Q97" s="48">
        <f t="shared" si="102"/>
        <v>0</v>
      </c>
      <c r="R97" s="48"/>
      <c r="S97" s="48"/>
      <c r="T97" s="48">
        <f t="shared" si="95"/>
        <v>290524.19999999995</v>
      </c>
      <c r="U97" s="48">
        <f t="shared" si="96"/>
        <v>290524.19999999995</v>
      </c>
      <c r="V97" s="48">
        <f t="shared" si="96"/>
        <v>290524.19999999995</v>
      </c>
    </row>
    <row r="98" spans="1:29" ht="58.9" customHeight="1" x14ac:dyDescent="0.25">
      <c r="A98" s="43" t="s">
        <v>127</v>
      </c>
      <c r="B98" s="47" t="s">
        <v>128</v>
      </c>
      <c r="C98" s="47" t="s">
        <v>54</v>
      </c>
      <c r="D98" s="47" t="s">
        <v>124</v>
      </c>
      <c r="E98" s="51">
        <f>E89+E91+E92+E93+E90</f>
        <v>105</v>
      </c>
      <c r="F98" s="52">
        <f t="shared" ref="F98:I98" si="103">F89+F91+F92+F93+F90</f>
        <v>97</v>
      </c>
      <c r="G98" s="51">
        <f>G89+G91+G92+G93+G90</f>
        <v>97</v>
      </c>
      <c r="H98" s="51">
        <f t="shared" si="103"/>
        <v>97</v>
      </c>
      <c r="I98" s="51">
        <f t="shared" si="103"/>
        <v>97</v>
      </c>
      <c r="J98" s="48"/>
      <c r="K98" s="48">
        <v>0</v>
      </c>
      <c r="L98" s="49">
        <f>61511.06</f>
        <v>61511.06</v>
      </c>
      <c r="M98" s="48">
        <f t="shared" si="101"/>
        <v>61511.06</v>
      </c>
      <c r="N98" s="48">
        <f t="shared" si="94"/>
        <v>0</v>
      </c>
      <c r="O98" s="48">
        <f>G98*K98</f>
        <v>0</v>
      </c>
      <c r="P98" s="51"/>
      <c r="Q98" s="49">
        <f>G98*L98</f>
        <v>5966572.8199999994</v>
      </c>
      <c r="R98" s="48"/>
      <c r="S98" s="48"/>
      <c r="T98" s="49">
        <f t="shared" si="95"/>
        <v>5966572.8199999994</v>
      </c>
      <c r="U98" s="48">
        <f t="shared" si="96"/>
        <v>5966572.8199999994</v>
      </c>
      <c r="V98" s="48">
        <f t="shared" si="96"/>
        <v>5966572.8199999994</v>
      </c>
    </row>
    <row r="99" spans="1:29" ht="24.6" customHeight="1" x14ac:dyDescent="0.25">
      <c r="A99" s="47" t="s">
        <v>496</v>
      </c>
      <c r="B99" s="47" t="s">
        <v>128</v>
      </c>
      <c r="C99" s="47" t="s">
        <v>129</v>
      </c>
      <c r="D99" s="47"/>
      <c r="E99" s="51"/>
      <c r="F99" s="51"/>
      <c r="G99" s="52">
        <f>G98</f>
        <v>97</v>
      </c>
      <c r="H99" s="52">
        <f>H98</f>
        <v>97</v>
      </c>
      <c r="I99" s="52">
        <f>I98</f>
        <v>97</v>
      </c>
      <c r="J99" s="48"/>
      <c r="K99" s="48">
        <v>0</v>
      </c>
      <c r="L99" s="49">
        <v>20437.68</v>
      </c>
      <c r="M99" s="48">
        <f t="shared" si="101"/>
        <v>20437.68</v>
      </c>
      <c r="N99" s="51"/>
      <c r="O99" s="48"/>
      <c r="P99" s="51"/>
      <c r="Q99" s="48"/>
      <c r="R99" s="48"/>
      <c r="S99" s="49">
        <f>G99*L99</f>
        <v>1982454.96</v>
      </c>
      <c r="T99" s="49">
        <f>S99</f>
        <v>1982454.96</v>
      </c>
      <c r="U99" s="48">
        <f>T99</f>
        <v>1982454.96</v>
      </c>
      <c r="V99" s="48">
        <f>U99</f>
        <v>1982454.96</v>
      </c>
    </row>
    <row r="100" spans="1:29" ht="28.9" customHeight="1" x14ac:dyDescent="0.25">
      <c r="A100" s="246" t="s">
        <v>618</v>
      </c>
      <c r="B100" s="229" t="s">
        <v>495</v>
      </c>
      <c r="C100" s="47"/>
      <c r="D100" s="37" t="s">
        <v>24</v>
      </c>
      <c r="E100" s="51"/>
      <c r="F100" s="51">
        <v>24</v>
      </c>
      <c r="G100" s="51">
        <v>24</v>
      </c>
      <c r="H100" s="51">
        <v>24</v>
      </c>
      <c r="I100" s="51">
        <v>0</v>
      </c>
      <c r="J100" s="48">
        <v>0</v>
      </c>
      <c r="K100" s="48"/>
      <c r="L100" s="49"/>
      <c r="M100" s="48">
        <f>J100+K100+L100</f>
        <v>0</v>
      </c>
      <c r="N100" s="48">
        <f>G100*J100</f>
        <v>0</v>
      </c>
      <c r="O100" s="48"/>
      <c r="P100" s="51"/>
      <c r="Q100" s="48"/>
      <c r="R100" s="48"/>
      <c r="S100" s="48"/>
      <c r="T100" s="48">
        <f>SUM(N100:Q100)</f>
        <v>0</v>
      </c>
      <c r="U100" s="48"/>
      <c r="V100" s="48"/>
    </row>
    <row r="101" spans="1:29" ht="30" customHeight="1" x14ac:dyDescent="0.25">
      <c r="A101" s="249"/>
      <c r="B101" s="230"/>
      <c r="C101" s="43" t="s">
        <v>610</v>
      </c>
      <c r="D101" s="298" t="s">
        <v>225</v>
      </c>
      <c r="E101" s="51">
        <v>0</v>
      </c>
      <c r="F101" s="51">
        <f>26*F100</f>
        <v>624</v>
      </c>
      <c r="G101" s="52">
        <f>14*2*G100</f>
        <v>672</v>
      </c>
      <c r="H101" s="52">
        <f>18*2*H100</f>
        <v>864</v>
      </c>
      <c r="I101" s="51">
        <v>0</v>
      </c>
      <c r="J101" s="49">
        <v>341.25</v>
      </c>
      <c r="K101" s="48"/>
      <c r="L101" s="49"/>
      <c r="M101" s="48">
        <f>J101+K101+L101</f>
        <v>341.25</v>
      </c>
      <c r="N101" s="49">
        <f>G101*J101+629.2</f>
        <v>229949.2</v>
      </c>
      <c r="O101" s="48"/>
      <c r="P101" s="51"/>
      <c r="Q101" s="48"/>
      <c r="R101" s="48"/>
      <c r="S101" s="48"/>
      <c r="T101" s="49">
        <f>SUM(N101:Q101)</f>
        <v>229949.2</v>
      </c>
      <c r="U101" s="49">
        <f>H101*J101+409.57</f>
        <v>295249.57</v>
      </c>
      <c r="V101" s="48">
        <f>I101*J101</f>
        <v>0</v>
      </c>
    </row>
    <row r="102" spans="1:29" ht="24.6" customHeight="1" x14ac:dyDescent="0.25">
      <c r="A102" s="47"/>
      <c r="B102" s="47"/>
      <c r="C102" s="162" t="s">
        <v>38</v>
      </c>
      <c r="D102" s="47"/>
      <c r="E102" s="51"/>
      <c r="F102" s="51">
        <v>24</v>
      </c>
      <c r="G102" s="52">
        <f>G100</f>
        <v>24</v>
      </c>
      <c r="H102" s="51">
        <f>H100</f>
        <v>24</v>
      </c>
      <c r="I102" s="51">
        <f>I100</f>
        <v>0</v>
      </c>
      <c r="J102" s="48" t="s">
        <v>26</v>
      </c>
      <c r="K102" s="48" t="s">
        <v>26</v>
      </c>
      <c r="L102" s="49" t="s">
        <v>26</v>
      </c>
      <c r="M102" s="48"/>
      <c r="N102" s="51"/>
      <c r="O102" s="48"/>
      <c r="P102" s="51"/>
      <c r="Q102" s="48"/>
      <c r="R102" s="48"/>
      <c r="S102" s="48"/>
      <c r="T102" s="48"/>
      <c r="U102" s="48"/>
      <c r="V102" s="48"/>
    </row>
    <row r="103" spans="1:29" ht="29.45" customHeight="1" x14ac:dyDescent="0.25">
      <c r="A103" s="46" t="s">
        <v>141</v>
      </c>
      <c r="B103" s="46"/>
      <c r="C103" s="46"/>
      <c r="D103" s="46"/>
      <c r="E103" s="52"/>
      <c r="F103" s="52"/>
      <c r="G103" s="52"/>
      <c r="H103" s="52"/>
      <c r="I103" s="52"/>
      <c r="J103" s="49"/>
      <c r="K103" s="48"/>
      <c r="L103" s="49"/>
      <c r="M103" s="48">
        <f t="shared" si="101"/>
        <v>0</v>
      </c>
      <c r="N103" s="49">
        <f>N104+N136+N139+N142</f>
        <v>20465809.349999998</v>
      </c>
      <c r="O103" s="49">
        <f>O104</f>
        <v>10016302.035</v>
      </c>
      <c r="P103" s="49"/>
      <c r="Q103" s="49">
        <f>Q104+Q133</f>
        <v>13521227.539999999</v>
      </c>
      <c r="R103" s="49"/>
      <c r="S103" s="49">
        <f>S134</f>
        <v>2064205.68</v>
      </c>
      <c r="T103" s="49">
        <f>T104+T133+T134+T136+T139+T142</f>
        <v>46067544.604999997</v>
      </c>
      <c r="U103" s="49">
        <f>U104+U133+U134+U136+U139+U142</f>
        <v>45942480.794999994</v>
      </c>
      <c r="V103" s="49">
        <f>V104+V133+V134+V136</f>
        <v>45830407.854999997</v>
      </c>
      <c r="W103" s="38">
        <v>11124194.529999999</v>
      </c>
      <c r="X103" s="44">
        <f>W103-Q103</f>
        <v>-2397033.0099999998</v>
      </c>
      <c r="Y103" s="38">
        <f>X103/G133</f>
        <v>-23733.0000990099</v>
      </c>
      <c r="AA103" s="38">
        <v>11727438.529999999</v>
      </c>
      <c r="AB103" s="44">
        <f>AA103-Q103</f>
        <v>-1793789.0099999998</v>
      </c>
      <c r="AC103" s="50">
        <f>AB103/I133</f>
        <v>-16307.172818181816</v>
      </c>
    </row>
    <row r="104" spans="1:29" ht="79.150000000000006" customHeight="1" x14ac:dyDescent="0.25">
      <c r="A104" s="43" t="s">
        <v>121</v>
      </c>
      <c r="B104" s="41" t="s">
        <v>122</v>
      </c>
      <c r="C104" s="41"/>
      <c r="D104" s="47"/>
      <c r="E104" s="51"/>
      <c r="F104" s="51"/>
      <c r="G104" s="51"/>
      <c r="H104" s="51"/>
      <c r="I104" s="51"/>
      <c r="J104" s="48"/>
      <c r="K104" s="48"/>
      <c r="L104" s="48"/>
      <c r="M104" s="48"/>
      <c r="N104" s="48">
        <f>SUM(N105:N132)</f>
        <v>20228672.599999998</v>
      </c>
      <c r="O104" s="48">
        <f>SUM(O105:O132)</f>
        <v>10016302.035</v>
      </c>
      <c r="P104" s="48">
        <f>P105+P120+P132+P116+P107+P128+P122+P111+P106+P117+P121+P123+P125+P129</f>
        <v>0</v>
      </c>
      <c r="Q104" s="49">
        <f>SUM(Q105:Q132)</f>
        <v>7308610.4799999995</v>
      </c>
      <c r="R104" s="48">
        <f>R105+R120+R132+R116+R107+R128+R122+R111+R106+R117+R121+R123+R125+R129</f>
        <v>0</v>
      </c>
      <c r="S104" s="48">
        <f>S105+S120+S132+S116+S107+S128+S122+S111+S106+S117+S121+S123+S125+S129</f>
        <v>0</v>
      </c>
      <c r="T104" s="49">
        <f>SUM(T105:T132)</f>
        <v>37553585.114999995</v>
      </c>
      <c r="U104" s="48">
        <f>SUM(U105:U132)</f>
        <v>37553585.114999995</v>
      </c>
      <c r="V104" s="48">
        <f>SUM(V105:V132)</f>
        <v>37553585.114999995</v>
      </c>
      <c r="W104" s="44">
        <v>35333149.530000001</v>
      </c>
      <c r="AA104" s="44">
        <f>35333149.53+U134</f>
        <v>37397355.210000001</v>
      </c>
      <c r="AB104" s="44">
        <f>U103-AA104</f>
        <v>8545125.5849999934</v>
      </c>
    </row>
    <row r="105" spans="1:29" ht="58.9" customHeight="1" x14ac:dyDescent="0.25">
      <c r="A105" s="43"/>
      <c r="B105" s="47" t="s">
        <v>123</v>
      </c>
      <c r="C105" s="246" t="s">
        <v>432</v>
      </c>
      <c r="D105" s="47" t="s">
        <v>124</v>
      </c>
      <c r="E105" s="51">
        <v>0</v>
      </c>
      <c r="F105" s="52">
        <v>0</v>
      </c>
      <c r="G105" s="51">
        <v>0</v>
      </c>
      <c r="H105" s="51">
        <v>0</v>
      </c>
      <c r="I105" s="51">
        <v>0</v>
      </c>
      <c r="J105" s="48">
        <v>86493.99</v>
      </c>
      <c r="K105" s="48">
        <f>33955.33+14682.07</f>
        <v>48637.4</v>
      </c>
      <c r="L105" s="49">
        <v>72362.48</v>
      </c>
      <c r="M105" s="48">
        <f t="shared" si="101"/>
        <v>207493.87</v>
      </c>
      <c r="N105" s="48">
        <f>G105*J105</f>
        <v>0</v>
      </c>
      <c r="O105" s="48">
        <f>G105*K105</f>
        <v>0</v>
      </c>
      <c r="P105" s="48"/>
      <c r="Q105" s="48">
        <f t="shared" ref="Q105:Q132" si="104">G105*L105</f>
        <v>0</v>
      </c>
      <c r="R105" s="48"/>
      <c r="S105" s="48"/>
      <c r="T105" s="48">
        <f>SUM(N105:Q105)</f>
        <v>0</v>
      </c>
      <c r="U105" s="48">
        <f t="shared" ref="U105:V133" si="105">T105</f>
        <v>0</v>
      </c>
      <c r="V105" s="48">
        <f t="shared" si="105"/>
        <v>0</v>
      </c>
      <c r="X105" s="44">
        <f>W104-U103</f>
        <v>-10609331.264999993</v>
      </c>
      <c r="AA105" s="44"/>
    </row>
    <row r="106" spans="1:29" ht="43.9" customHeight="1" x14ac:dyDescent="0.25">
      <c r="A106" s="43"/>
      <c r="B106" s="47" t="s">
        <v>338</v>
      </c>
      <c r="C106" s="249"/>
      <c r="D106" s="47" t="s">
        <v>124</v>
      </c>
      <c r="E106" s="51">
        <v>0</v>
      </c>
      <c r="F106" s="52">
        <v>0</v>
      </c>
      <c r="G106" s="51">
        <v>0</v>
      </c>
      <c r="H106" s="51">
        <v>0</v>
      </c>
      <c r="I106" s="51">
        <v>0</v>
      </c>
      <c r="J106" s="48">
        <v>62820.88</v>
      </c>
      <c r="K106" s="48">
        <f>33955.33+14682.07</f>
        <v>48637.4</v>
      </c>
      <c r="L106" s="49">
        <v>72362.48</v>
      </c>
      <c r="M106" s="48">
        <f t="shared" si="101"/>
        <v>183820.76</v>
      </c>
      <c r="N106" s="48">
        <f t="shared" ref="N106:N129" si="106">G106*J106</f>
        <v>0</v>
      </c>
      <c r="O106" s="48">
        <f t="shared" ref="O106:O120" si="107">G106*K106</f>
        <v>0</v>
      </c>
      <c r="P106" s="48"/>
      <c r="Q106" s="48">
        <f t="shared" si="104"/>
        <v>0</v>
      </c>
      <c r="R106" s="48"/>
      <c r="S106" s="48"/>
      <c r="T106" s="48">
        <f t="shared" ref="T106:T132" si="108">SUM(N106:Q106)</f>
        <v>0</v>
      </c>
      <c r="U106" s="48">
        <f t="shared" si="105"/>
        <v>0</v>
      </c>
      <c r="V106" s="48">
        <f t="shared" si="105"/>
        <v>0</v>
      </c>
      <c r="X106" s="44"/>
      <c r="AA106" s="44"/>
    </row>
    <row r="107" spans="1:29" ht="20.45" customHeight="1" x14ac:dyDescent="0.25">
      <c r="A107" s="43"/>
      <c r="B107" s="47" t="s">
        <v>318</v>
      </c>
      <c r="C107" s="246" t="s">
        <v>575</v>
      </c>
      <c r="D107" s="47" t="s">
        <v>124</v>
      </c>
      <c r="E107" s="51">
        <v>26</v>
      </c>
      <c r="F107" s="51">
        <f>14</f>
        <v>14</v>
      </c>
      <c r="G107" s="51">
        <v>12</v>
      </c>
      <c r="H107" s="51">
        <v>13</v>
      </c>
      <c r="I107" s="51">
        <v>13</v>
      </c>
      <c r="J107" s="49">
        <v>245948.56</v>
      </c>
      <c r="K107" s="48">
        <f>64533.72+18402.51*2</f>
        <v>101338.73999999999</v>
      </c>
      <c r="L107" s="49">
        <v>72362.48</v>
      </c>
      <c r="M107" s="48">
        <f t="shared" si="101"/>
        <v>419649.77999999997</v>
      </c>
      <c r="N107" s="48">
        <f>G107*J107</f>
        <v>2951382.7199999997</v>
      </c>
      <c r="O107" s="48">
        <f>G107*K107</f>
        <v>1216064.8799999999</v>
      </c>
      <c r="P107" s="51"/>
      <c r="Q107" s="48">
        <f t="shared" si="104"/>
        <v>868349.76</v>
      </c>
      <c r="R107" s="48"/>
      <c r="S107" s="48"/>
      <c r="T107" s="48">
        <f t="shared" si="108"/>
        <v>5035797.3599999994</v>
      </c>
      <c r="U107" s="48">
        <f t="shared" si="105"/>
        <v>5035797.3599999994</v>
      </c>
      <c r="V107" s="48">
        <f t="shared" si="105"/>
        <v>5035797.3599999994</v>
      </c>
    </row>
    <row r="108" spans="1:29" ht="20.45" customHeight="1" x14ac:dyDescent="0.25">
      <c r="A108" s="43"/>
      <c r="B108" s="47" t="s">
        <v>509</v>
      </c>
      <c r="C108" s="250"/>
      <c r="D108" s="47"/>
      <c r="E108" s="51">
        <v>0</v>
      </c>
      <c r="F108" s="51">
        <v>2</v>
      </c>
      <c r="G108" s="51">
        <v>7</v>
      </c>
      <c r="H108" s="51">
        <v>0</v>
      </c>
      <c r="I108" s="51">
        <v>0</v>
      </c>
      <c r="J108" s="48">
        <v>490621.77</v>
      </c>
      <c r="K108" s="48">
        <f>144406.74+18402.51*4</f>
        <v>218016.77999999997</v>
      </c>
      <c r="L108" s="49">
        <v>72362.48</v>
      </c>
      <c r="M108" s="48">
        <f t="shared" ref="M108" si="109">J108+K108+L108</f>
        <v>781001.03</v>
      </c>
      <c r="N108" s="48">
        <f>G108*J108</f>
        <v>3434352.39</v>
      </c>
      <c r="O108" s="48">
        <f>G108*K108</f>
        <v>1526117.4599999997</v>
      </c>
      <c r="P108" s="51"/>
      <c r="Q108" s="48">
        <f t="shared" ref="Q108" si="110">G108*L108</f>
        <v>506537.36</v>
      </c>
      <c r="R108" s="48"/>
      <c r="S108" s="48"/>
      <c r="T108" s="48">
        <f t="shared" ref="T108" si="111">SUM(N108:Q108)</f>
        <v>5467007.21</v>
      </c>
      <c r="U108" s="48">
        <f t="shared" ref="U108" si="112">T108</f>
        <v>5467007.21</v>
      </c>
      <c r="V108" s="48">
        <f t="shared" ref="V108" si="113">U108</f>
        <v>5467007.21</v>
      </c>
    </row>
    <row r="109" spans="1:29" ht="20.45" customHeight="1" x14ac:dyDescent="0.25">
      <c r="A109" s="47" t="s">
        <v>327</v>
      </c>
      <c r="B109" s="47" t="s">
        <v>509</v>
      </c>
      <c r="C109" s="250"/>
      <c r="D109" s="47"/>
      <c r="E109" s="51">
        <v>0</v>
      </c>
      <c r="F109" s="51">
        <v>5</v>
      </c>
      <c r="G109" s="51">
        <v>0</v>
      </c>
      <c r="H109" s="51">
        <v>0</v>
      </c>
      <c r="I109" s="51">
        <v>0</v>
      </c>
      <c r="J109" s="48">
        <v>490621.77</v>
      </c>
      <c r="K109" s="48">
        <f>157189.95+15452.52*4+257654.9</f>
        <v>476654.93000000005</v>
      </c>
      <c r="L109" s="49">
        <v>72362.48</v>
      </c>
      <c r="M109" s="48">
        <f t="shared" ref="M109" si="114">J109+K109+L109</f>
        <v>1039639.18</v>
      </c>
      <c r="N109" s="48">
        <f>G109*J109</f>
        <v>0</v>
      </c>
      <c r="O109" s="48">
        <f>G109*K109</f>
        <v>0</v>
      </c>
      <c r="P109" s="51"/>
      <c r="Q109" s="48">
        <f t="shared" ref="Q109" si="115">G109*L109</f>
        <v>0</v>
      </c>
      <c r="R109" s="48"/>
      <c r="S109" s="48"/>
      <c r="T109" s="48">
        <f t="shared" ref="T109" si="116">SUM(N109:Q109)</f>
        <v>0</v>
      </c>
      <c r="U109" s="48">
        <f t="shared" ref="U109" si="117">T109</f>
        <v>0</v>
      </c>
      <c r="V109" s="48">
        <f t="shared" ref="V109" si="118">U109</f>
        <v>0</v>
      </c>
    </row>
    <row r="110" spans="1:29" ht="25.15" customHeight="1" x14ac:dyDescent="0.25">
      <c r="A110" s="47" t="s">
        <v>327</v>
      </c>
      <c r="B110" s="47" t="s">
        <v>433</v>
      </c>
      <c r="C110" s="321"/>
      <c r="D110" s="47" t="s">
        <v>124</v>
      </c>
      <c r="E110" s="51">
        <v>1</v>
      </c>
      <c r="F110" s="51">
        <v>0</v>
      </c>
      <c r="G110" s="51">
        <v>0</v>
      </c>
      <c r="H110" s="51">
        <v>0</v>
      </c>
      <c r="I110" s="51">
        <v>0</v>
      </c>
      <c r="J110" s="48">
        <v>307116.86</v>
      </c>
      <c r="K110" s="48">
        <f>116987.52+15452.52*2.5+257654.9</f>
        <v>413273.72</v>
      </c>
      <c r="L110" s="49">
        <v>72362.48</v>
      </c>
      <c r="M110" s="48">
        <f t="shared" si="101"/>
        <v>792753.05999999994</v>
      </c>
      <c r="N110" s="48">
        <f>G110*J110</f>
        <v>0</v>
      </c>
      <c r="O110" s="48">
        <f t="shared" si="107"/>
        <v>0</v>
      </c>
      <c r="P110" s="48"/>
      <c r="Q110" s="48">
        <f t="shared" si="104"/>
        <v>0</v>
      </c>
      <c r="R110" s="48"/>
      <c r="S110" s="48"/>
      <c r="T110" s="48">
        <f t="shared" si="108"/>
        <v>0</v>
      </c>
      <c r="U110" s="48">
        <f t="shared" si="105"/>
        <v>0</v>
      </c>
      <c r="V110" s="48">
        <f t="shared" si="105"/>
        <v>0</v>
      </c>
    </row>
    <row r="111" spans="1:29" ht="25.9" customHeight="1" x14ac:dyDescent="0.25">
      <c r="A111" s="47" t="s">
        <v>327</v>
      </c>
      <c r="B111" s="47" t="s">
        <v>325</v>
      </c>
      <c r="C111" s="321"/>
      <c r="D111" s="47" t="s">
        <v>124</v>
      </c>
      <c r="E111" s="51">
        <v>5</v>
      </c>
      <c r="F111" s="51">
        <f>5</f>
        <v>5</v>
      </c>
      <c r="G111" s="51">
        <v>2</v>
      </c>
      <c r="H111" s="51">
        <v>2</v>
      </c>
      <c r="I111" s="51">
        <v>2</v>
      </c>
      <c r="J111" s="48">
        <v>307116.86</v>
      </c>
      <c r="K111" s="48">
        <f>80637.16+18402.51*2.5+257654.9</f>
        <v>384298.33499999996</v>
      </c>
      <c r="L111" s="49">
        <v>72362.48</v>
      </c>
      <c r="M111" s="48">
        <f t="shared" si="101"/>
        <v>763777.67499999993</v>
      </c>
      <c r="N111" s="48">
        <f>G111*J111</f>
        <v>614233.72</v>
      </c>
      <c r="O111" s="48">
        <f>G111*K111</f>
        <v>768596.66999999993</v>
      </c>
      <c r="P111" s="48"/>
      <c r="Q111" s="48">
        <f t="shared" si="104"/>
        <v>144724.96</v>
      </c>
      <c r="R111" s="48"/>
      <c r="S111" s="48"/>
      <c r="T111" s="48">
        <f t="shared" si="108"/>
        <v>1527555.3499999999</v>
      </c>
      <c r="U111" s="48">
        <f t="shared" si="105"/>
        <v>1527555.3499999999</v>
      </c>
      <c r="V111" s="48">
        <f t="shared" si="105"/>
        <v>1527555.3499999999</v>
      </c>
    </row>
    <row r="112" spans="1:29" ht="25.15" customHeight="1" x14ac:dyDescent="0.25">
      <c r="A112" s="47" t="s">
        <v>327</v>
      </c>
      <c r="B112" s="47" t="s">
        <v>325</v>
      </c>
      <c r="C112" s="321"/>
      <c r="D112" s="47" t="s">
        <v>124</v>
      </c>
      <c r="E112" s="51">
        <v>2</v>
      </c>
      <c r="F112" s="51">
        <v>0</v>
      </c>
      <c r="G112" s="51">
        <v>3</v>
      </c>
      <c r="H112" s="51">
        <v>3</v>
      </c>
      <c r="I112" s="51">
        <v>3</v>
      </c>
      <c r="J112" s="48">
        <v>307116.86</v>
      </c>
      <c r="K112" s="48">
        <f>80637.16+18402.51*2.5+257654.9</f>
        <v>384298.33499999996</v>
      </c>
      <c r="L112" s="49">
        <v>72362.48</v>
      </c>
      <c r="M112" s="48">
        <f t="shared" si="101"/>
        <v>763777.67499999993</v>
      </c>
      <c r="N112" s="48">
        <f t="shared" ref="N112:N121" si="119">G112*J112</f>
        <v>921350.58</v>
      </c>
      <c r="O112" s="48">
        <f>G112*K112+9201.25</f>
        <v>1162096.2549999999</v>
      </c>
      <c r="P112" s="48"/>
      <c r="Q112" s="48">
        <f t="shared" si="104"/>
        <v>217087.44</v>
      </c>
      <c r="R112" s="48"/>
      <c r="S112" s="48"/>
      <c r="T112" s="48">
        <f t="shared" si="108"/>
        <v>2300534.2749999999</v>
      </c>
      <c r="U112" s="48">
        <f t="shared" si="105"/>
        <v>2300534.2749999999</v>
      </c>
      <c r="V112" s="48">
        <f t="shared" si="105"/>
        <v>2300534.2749999999</v>
      </c>
    </row>
    <row r="113" spans="1:22" ht="25.15" customHeight="1" x14ac:dyDescent="0.25">
      <c r="A113" s="47" t="s">
        <v>327</v>
      </c>
      <c r="B113" s="47" t="s">
        <v>593</v>
      </c>
      <c r="C113" s="321"/>
      <c r="D113" s="47" t="s">
        <v>124</v>
      </c>
      <c r="E113" s="51">
        <v>0</v>
      </c>
      <c r="F113" s="51">
        <f>8-7</f>
        <v>1</v>
      </c>
      <c r="G113" s="51">
        <v>2</v>
      </c>
      <c r="H113" s="51">
        <v>2</v>
      </c>
      <c r="I113" s="51">
        <v>2</v>
      </c>
      <c r="J113" s="48">
        <v>490621.77</v>
      </c>
      <c r="K113" s="48">
        <f>144406.74+18402.51*4+257654.9</f>
        <v>475671.67999999993</v>
      </c>
      <c r="L113" s="49">
        <v>72362.48</v>
      </c>
      <c r="M113" s="48">
        <f t="shared" ref="M113" si="120">J113+K113+L113</f>
        <v>1038655.9299999999</v>
      </c>
      <c r="N113" s="48">
        <f>G113*J113</f>
        <v>981243.54</v>
      </c>
      <c r="O113" s="48">
        <f>G113*K113</f>
        <v>951343.35999999987</v>
      </c>
      <c r="P113" s="48"/>
      <c r="Q113" s="48">
        <f t="shared" ref="Q113" si="121">G113*L113</f>
        <v>144724.96</v>
      </c>
      <c r="R113" s="48"/>
      <c r="S113" s="48"/>
      <c r="T113" s="48">
        <f t="shared" ref="T113" si="122">SUM(N113:Q113)</f>
        <v>2077311.8599999999</v>
      </c>
      <c r="U113" s="48">
        <f t="shared" ref="U113" si="123">T113</f>
        <v>2077311.8599999999</v>
      </c>
      <c r="V113" s="48">
        <f t="shared" ref="V113" si="124">U113</f>
        <v>2077311.8599999999</v>
      </c>
    </row>
    <row r="114" spans="1:22" ht="22.9" customHeight="1" x14ac:dyDescent="0.25">
      <c r="A114" s="47" t="s">
        <v>327</v>
      </c>
      <c r="B114" s="47" t="s">
        <v>314</v>
      </c>
      <c r="C114" s="321"/>
      <c r="D114" s="47" t="s">
        <v>124</v>
      </c>
      <c r="E114" s="51">
        <v>1</v>
      </c>
      <c r="F114" s="51">
        <v>0</v>
      </c>
      <c r="G114" s="51">
        <v>1</v>
      </c>
      <c r="H114" s="51">
        <v>1</v>
      </c>
      <c r="I114" s="51">
        <v>1</v>
      </c>
      <c r="J114" s="49">
        <v>245948.56</v>
      </c>
      <c r="K114" s="48">
        <f>64533.72+18402.51*2+257654.9</f>
        <v>358993.64</v>
      </c>
      <c r="L114" s="49">
        <v>72362.48</v>
      </c>
      <c r="M114" s="48">
        <f t="shared" si="101"/>
        <v>677304.67999999993</v>
      </c>
      <c r="N114" s="48">
        <f t="shared" si="119"/>
        <v>245948.56</v>
      </c>
      <c r="O114" s="48">
        <f t="shared" si="107"/>
        <v>358993.64</v>
      </c>
      <c r="P114" s="48"/>
      <c r="Q114" s="48">
        <f t="shared" si="104"/>
        <v>72362.48</v>
      </c>
      <c r="R114" s="48"/>
      <c r="S114" s="48"/>
      <c r="T114" s="48">
        <f t="shared" si="108"/>
        <v>677304.67999999993</v>
      </c>
      <c r="U114" s="48">
        <f t="shared" si="105"/>
        <v>677304.67999999993</v>
      </c>
      <c r="V114" s="48">
        <f t="shared" si="105"/>
        <v>677304.67999999993</v>
      </c>
    </row>
    <row r="115" spans="1:22" ht="25.15" customHeight="1" x14ac:dyDescent="0.25">
      <c r="A115" s="47"/>
      <c r="B115" s="43" t="s">
        <v>600</v>
      </c>
      <c r="C115" s="321"/>
      <c r="D115" s="47" t="s">
        <v>124</v>
      </c>
      <c r="E115" s="51">
        <v>4</v>
      </c>
      <c r="F115" s="51">
        <v>0</v>
      </c>
      <c r="G115" s="51">
        <v>0</v>
      </c>
      <c r="H115" s="51">
        <v>0</v>
      </c>
      <c r="I115" s="51">
        <v>0</v>
      </c>
      <c r="J115" s="48">
        <v>307116.86</v>
      </c>
      <c r="K115" s="48">
        <f>70240.51+15452.52*2</f>
        <v>101145.54999999999</v>
      </c>
      <c r="L115" s="49">
        <v>72362.48</v>
      </c>
      <c r="M115" s="48">
        <f t="shared" si="101"/>
        <v>480624.88999999996</v>
      </c>
      <c r="N115" s="48">
        <f t="shared" si="119"/>
        <v>0</v>
      </c>
      <c r="O115" s="48">
        <f>G115*K115</f>
        <v>0</v>
      </c>
      <c r="P115" s="48"/>
      <c r="Q115" s="48">
        <f t="shared" si="104"/>
        <v>0</v>
      </c>
      <c r="R115" s="48"/>
      <c r="S115" s="48"/>
      <c r="T115" s="48">
        <f t="shared" si="108"/>
        <v>0</v>
      </c>
      <c r="U115" s="48">
        <f t="shared" si="105"/>
        <v>0</v>
      </c>
      <c r="V115" s="48">
        <f t="shared" si="105"/>
        <v>0</v>
      </c>
    </row>
    <row r="116" spans="1:22" ht="18" customHeight="1" x14ac:dyDescent="0.25">
      <c r="A116" s="47"/>
      <c r="B116" s="43" t="s">
        <v>451</v>
      </c>
      <c r="C116" s="318"/>
      <c r="D116" s="47" t="s">
        <v>124</v>
      </c>
      <c r="E116" s="51">
        <v>12</v>
      </c>
      <c r="F116" s="51">
        <v>0</v>
      </c>
      <c r="G116" s="51">
        <v>0</v>
      </c>
      <c r="H116" s="51">
        <v>0</v>
      </c>
      <c r="I116" s="51">
        <v>0</v>
      </c>
      <c r="J116" s="48">
        <v>396958.87</v>
      </c>
      <c r="K116" s="48">
        <f>70240.51+15452.52*2</f>
        <v>101145.54999999999</v>
      </c>
      <c r="L116" s="49">
        <v>72362.48</v>
      </c>
      <c r="M116" s="48">
        <f t="shared" si="101"/>
        <v>570466.9</v>
      </c>
      <c r="N116" s="48">
        <f>G116*J116</f>
        <v>0</v>
      </c>
      <c r="O116" s="48">
        <f>G116*K116</f>
        <v>0</v>
      </c>
      <c r="P116" s="48"/>
      <c r="Q116" s="48">
        <f t="shared" si="104"/>
        <v>0</v>
      </c>
      <c r="R116" s="48"/>
      <c r="S116" s="48"/>
      <c r="T116" s="48">
        <f t="shared" si="108"/>
        <v>0</v>
      </c>
      <c r="U116" s="48">
        <f t="shared" si="105"/>
        <v>0</v>
      </c>
      <c r="V116" s="48">
        <f t="shared" si="105"/>
        <v>0</v>
      </c>
    </row>
    <row r="117" spans="1:22" ht="33.6" customHeight="1" x14ac:dyDescent="0.25">
      <c r="A117" s="47"/>
      <c r="B117" s="47" t="s">
        <v>322</v>
      </c>
      <c r="C117" s="246" t="s">
        <v>578</v>
      </c>
      <c r="D117" s="47" t="s">
        <v>124</v>
      </c>
      <c r="E117" s="51">
        <v>17</v>
      </c>
      <c r="F117" s="51">
        <v>17</v>
      </c>
      <c r="G117" s="51">
        <f>17+29</f>
        <v>46</v>
      </c>
      <c r="H117" s="51">
        <v>46</v>
      </c>
      <c r="I117" s="51">
        <v>46</v>
      </c>
      <c r="J117" s="48">
        <v>132713.06</v>
      </c>
      <c r="K117" s="48">
        <f t="shared" ref="K117:K118" si="125">32326.86+18402.51</f>
        <v>50729.369999999995</v>
      </c>
      <c r="L117" s="49">
        <v>72362.48</v>
      </c>
      <c r="M117" s="48">
        <f t="shared" si="101"/>
        <v>255804.90999999997</v>
      </c>
      <c r="N117" s="48">
        <f t="shared" si="119"/>
        <v>6104800.7599999998</v>
      </c>
      <c r="O117" s="48">
        <f t="shared" si="107"/>
        <v>2333551.0199999996</v>
      </c>
      <c r="P117" s="48"/>
      <c r="Q117" s="48">
        <f t="shared" si="104"/>
        <v>3328674.0799999996</v>
      </c>
      <c r="R117" s="48"/>
      <c r="S117" s="48"/>
      <c r="T117" s="48">
        <f t="shared" si="108"/>
        <v>11767025.859999999</v>
      </c>
      <c r="U117" s="48">
        <f t="shared" si="105"/>
        <v>11767025.859999999</v>
      </c>
      <c r="V117" s="48">
        <f t="shared" si="105"/>
        <v>11767025.859999999</v>
      </c>
    </row>
    <row r="118" spans="1:22" ht="36" customHeight="1" x14ac:dyDescent="0.25">
      <c r="A118" s="47"/>
      <c r="B118" s="47" t="s">
        <v>322</v>
      </c>
      <c r="C118" s="250"/>
      <c r="D118" s="47" t="s">
        <v>124</v>
      </c>
      <c r="E118" s="51">
        <v>2</v>
      </c>
      <c r="F118" s="51">
        <v>2</v>
      </c>
      <c r="G118" s="51">
        <v>3</v>
      </c>
      <c r="H118" s="51">
        <v>3</v>
      </c>
      <c r="I118" s="51">
        <v>3</v>
      </c>
      <c r="J118" s="48">
        <v>132713.06</v>
      </c>
      <c r="K118" s="48">
        <f t="shared" si="125"/>
        <v>50729.369999999995</v>
      </c>
      <c r="L118" s="49">
        <v>72362.48</v>
      </c>
      <c r="M118" s="48">
        <f t="shared" ref="M118" si="126">J118+K118+L118</f>
        <v>255804.90999999997</v>
      </c>
      <c r="N118" s="48">
        <f t="shared" ref="N118" si="127">G118*J118</f>
        <v>398139.18</v>
      </c>
      <c r="O118" s="48">
        <f t="shared" ref="O118" si="128">G118*K118</f>
        <v>152188.10999999999</v>
      </c>
      <c r="P118" s="48"/>
      <c r="Q118" s="48">
        <f t="shared" ref="Q118" si="129">G118*L118</f>
        <v>217087.44</v>
      </c>
      <c r="R118" s="48"/>
      <c r="S118" s="48"/>
      <c r="T118" s="48">
        <f t="shared" ref="T118" si="130">SUM(N118:Q118)</f>
        <v>767414.73</v>
      </c>
      <c r="U118" s="48">
        <f t="shared" ref="U118" si="131">T118</f>
        <v>767414.73</v>
      </c>
      <c r="V118" s="48">
        <f t="shared" ref="V118" si="132">U118</f>
        <v>767414.73</v>
      </c>
    </row>
    <row r="119" spans="1:22" ht="34.15" customHeight="1" x14ac:dyDescent="0.25">
      <c r="A119" s="47"/>
      <c r="B119" s="47" t="s">
        <v>316</v>
      </c>
      <c r="C119" s="250"/>
      <c r="D119" s="47" t="s">
        <v>124</v>
      </c>
      <c r="E119" s="51">
        <v>28</v>
      </c>
      <c r="F119" s="51">
        <v>41</v>
      </c>
      <c r="G119" s="52">
        <v>11</v>
      </c>
      <c r="H119" s="51">
        <v>24</v>
      </c>
      <c r="I119" s="51">
        <v>24</v>
      </c>
      <c r="J119" s="48">
        <v>132713.06</v>
      </c>
      <c r="K119" s="48">
        <f>32326.86+18402.51</f>
        <v>50729.369999999995</v>
      </c>
      <c r="L119" s="49">
        <v>72362.48</v>
      </c>
      <c r="M119" s="48">
        <f t="shared" si="101"/>
        <v>255804.90999999997</v>
      </c>
      <c r="N119" s="48">
        <f t="shared" si="119"/>
        <v>1459843.66</v>
      </c>
      <c r="O119" s="48">
        <f t="shared" si="107"/>
        <v>558023.06999999995</v>
      </c>
      <c r="P119" s="48"/>
      <c r="Q119" s="48">
        <f t="shared" si="104"/>
        <v>795987.27999999991</v>
      </c>
      <c r="R119" s="48"/>
      <c r="S119" s="48"/>
      <c r="T119" s="48">
        <f t="shared" si="108"/>
        <v>2813854.01</v>
      </c>
      <c r="U119" s="48">
        <f t="shared" si="105"/>
        <v>2813854.01</v>
      </c>
      <c r="V119" s="48">
        <f t="shared" si="105"/>
        <v>2813854.01</v>
      </c>
    </row>
    <row r="120" spans="1:22" ht="30" customHeight="1" x14ac:dyDescent="0.25">
      <c r="A120" s="47"/>
      <c r="B120" s="47" t="s">
        <v>123</v>
      </c>
      <c r="C120" s="249"/>
      <c r="D120" s="47" t="s">
        <v>124</v>
      </c>
      <c r="E120" s="51">
        <v>17</v>
      </c>
      <c r="F120" s="51">
        <f>14</f>
        <v>14</v>
      </c>
      <c r="G120" s="52">
        <v>14</v>
      </c>
      <c r="H120" s="51">
        <v>16</v>
      </c>
      <c r="I120" s="51">
        <v>16</v>
      </c>
      <c r="J120" s="48">
        <v>175329.95</v>
      </c>
      <c r="K120" s="48">
        <f>43062.49+18402.51*1.5</f>
        <v>70666.255000000005</v>
      </c>
      <c r="L120" s="49">
        <v>72362.48</v>
      </c>
      <c r="M120" s="48">
        <f t="shared" si="101"/>
        <v>318358.685</v>
      </c>
      <c r="N120" s="48">
        <f t="shared" si="119"/>
        <v>2454619.3000000003</v>
      </c>
      <c r="O120" s="48">
        <f t="shared" si="107"/>
        <v>989327.57000000007</v>
      </c>
      <c r="P120" s="48"/>
      <c r="Q120" s="48">
        <f t="shared" si="104"/>
        <v>1013074.72</v>
      </c>
      <c r="R120" s="48"/>
      <c r="S120" s="48"/>
      <c r="T120" s="48">
        <f t="shared" si="108"/>
        <v>4457021.59</v>
      </c>
      <c r="U120" s="48">
        <f t="shared" si="105"/>
        <v>4457021.59</v>
      </c>
      <c r="V120" s="48">
        <f t="shared" si="105"/>
        <v>4457021.59</v>
      </c>
    </row>
    <row r="121" spans="1:22" ht="41.45" customHeight="1" x14ac:dyDescent="0.25">
      <c r="A121" s="47"/>
      <c r="B121" s="47" t="s">
        <v>123</v>
      </c>
      <c r="C121" s="246" t="s">
        <v>434</v>
      </c>
      <c r="D121" s="47" t="s">
        <v>124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48">
        <v>4842.07</v>
      </c>
      <c r="K121" s="48">
        <v>0</v>
      </c>
      <c r="L121" s="48">
        <v>0</v>
      </c>
      <c r="M121" s="48">
        <f>J121+K121+L121</f>
        <v>4842.07</v>
      </c>
      <c r="N121" s="48">
        <f t="shared" si="119"/>
        <v>0</v>
      </c>
      <c r="O121" s="48">
        <f>G121*K121</f>
        <v>0</v>
      </c>
      <c r="P121" s="48"/>
      <c r="Q121" s="48">
        <f>G121*L121</f>
        <v>0</v>
      </c>
      <c r="R121" s="48"/>
      <c r="S121" s="48"/>
      <c r="T121" s="48">
        <f t="shared" ref="T121" si="133">SUM(N121:Q121)</f>
        <v>0</v>
      </c>
      <c r="U121" s="48">
        <f t="shared" si="105"/>
        <v>0</v>
      </c>
      <c r="V121" s="48">
        <f t="shared" si="105"/>
        <v>0</v>
      </c>
    </row>
    <row r="122" spans="1:22" ht="33.6" customHeight="1" x14ac:dyDescent="0.25">
      <c r="A122" s="47"/>
      <c r="B122" s="47" t="s">
        <v>125</v>
      </c>
      <c r="C122" s="249"/>
      <c r="D122" s="47" t="s">
        <v>124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48">
        <v>4842.07</v>
      </c>
      <c r="K122" s="48">
        <v>0</v>
      </c>
      <c r="L122" s="48">
        <v>0</v>
      </c>
      <c r="M122" s="48">
        <f t="shared" ref="M122:M131" si="134">J122+K122+L122</f>
        <v>4842.07</v>
      </c>
      <c r="N122" s="48">
        <f t="shared" si="106"/>
        <v>0</v>
      </c>
      <c r="O122" s="48">
        <f t="shared" ref="O122:O132" si="135">G122*K122</f>
        <v>0</v>
      </c>
      <c r="P122" s="48"/>
      <c r="Q122" s="48">
        <f t="shared" si="104"/>
        <v>0</v>
      </c>
      <c r="R122" s="48"/>
      <c r="S122" s="48"/>
      <c r="T122" s="48">
        <f t="shared" ref="T122:T127" si="136">SUM(N122:Q122)</f>
        <v>0</v>
      </c>
      <c r="U122" s="48">
        <f t="shared" si="105"/>
        <v>0</v>
      </c>
      <c r="V122" s="48">
        <f t="shared" si="105"/>
        <v>0</v>
      </c>
    </row>
    <row r="123" spans="1:22" ht="28.15" customHeight="1" x14ac:dyDescent="0.25">
      <c r="A123" s="47"/>
      <c r="B123" s="47" t="s">
        <v>318</v>
      </c>
      <c r="C123" s="246" t="s">
        <v>435</v>
      </c>
      <c r="D123" s="47" t="s">
        <v>124</v>
      </c>
      <c r="E123" s="51">
        <v>26</v>
      </c>
      <c r="F123" s="51">
        <v>14</v>
      </c>
      <c r="G123" s="51">
        <v>13</v>
      </c>
      <c r="H123" s="51">
        <v>13</v>
      </c>
      <c r="I123" s="51">
        <v>13</v>
      </c>
      <c r="J123" s="48">
        <v>7263.1</v>
      </c>
      <c r="K123" s="48">
        <v>0</v>
      </c>
      <c r="L123" s="48">
        <v>0</v>
      </c>
      <c r="M123" s="48">
        <f t="shared" si="134"/>
        <v>7263.1</v>
      </c>
      <c r="N123" s="48">
        <f t="shared" ref="N123:N128" si="137">G123*J123</f>
        <v>94420.3</v>
      </c>
      <c r="O123" s="48">
        <f t="shared" si="135"/>
        <v>0</v>
      </c>
      <c r="P123" s="48"/>
      <c r="Q123" s="48">
        <f t="shared" si="104"/>
        <v>0</v>
      </c>
      <c r="R123" s="48"/>
      <c r="S123" s="48"/>
      <c r="T123" s="48">
        <f t="shared" si="136"/>
        <v>94420.3</v>
      </c>
      <c r="U123" s="48">
        <f t="shared" si="105"/>
        <v>94420.3</v>
      </c>
      <c r="V123" s="48">
        <f t="shared" si="105"/>
        <v>94420.3</v>
      </c>
    </row>
    <row r="124" spans="1:22" ht="43.15" customHeight="1" x14ac:dyDescent="0.25">
      <c r="A124" s="47"/>
      <c r="B124" s="322" t="s">
        <v>561</v>
      </c>
      <c r="C124" s="250"/>
      <c r="D124" s="47" t="s">
        <v>124</v>
      </c>
      <c r="E124" s="51">
        <v>13</v>
      </c>
      <c r="F124" s="51">
        <v>0</v>
      </c>
      <c r="G124" s="51">
        <v>0</v>
      </c>
      <c r="H124" s="51">
        <v>0</v>
      </c>
      <c r="I124" s="51">
        <v>0</v>
      </c>
      <c r="J124" s="48">
        <v>12105.17</v>
      </c>
      <c r="K124" s="48">
        <v>0</v>
      </c>
      <c r="L124" s="48">
        <v>0</v>
      </c>
      <c r="M124" s="48">
        <f t="shared" si="134"/>
        <v>12105.17</v>
      </c>
      <c r="N124" s="48">
        <f t="shared" si="137"/>
        <v>0</v>
      </c>
      <c r="O124" s="48">
        <f t="shared" si="135"/>
        <v>0</v>
      </c>
      <c r="P124" s="48"/>
      <c r="Q124" s="48">
        <f t="shared" si="104"/>
        <v>0</v>
      </c>
      <c r="R124" s="48"/>
      <c r="S124" s="48"/>
      <c r="T124" s="48">
        <f t="shared" si="136"/>
        <v>0</v>
      </c>
      <c r="U124" s="48">
        <f t="shared" si="105"/>
        <v>0</v>
      </c>
      <c r="V124" s="48">
        <f t="shared" si="105"/>
        <v>0</v>
      </c>
    </row>
    <row r="125" spans="1:22" ht="47.45" customHeight="1" x14ac:dyDescent="0.25">
      <c r="A125" s="47"/>
      <c r="B125" s="322" t="s">
        <v>436</v>
      </c>
      <c r="C125" s="250"/>
      <c r="D125" s="47" t="s">
        <v>124</v>
      </c>
      <c r="E125" s="51">
        <v>6</v>
      </c>
      <c r="F125" s="51">
        <v>0</v>
      </c>
      <c r="G125" s="51">
        <v>0</v>
      </c>
      <c r="H125" s="51">
        <v>0</v>
      </c>
      <c r="I125" s="51">
        <v>0</v>
      </c>
      <c r="J125" s="48">
        <v>12105.17</v>
      </c>
      <c r="K125" s="48">
        <v>0</v>
      </c>
      <c r="L125" s="48">
        <v>0</v>
      </c>
      <c r="M125" s="48">
        <f t="shared" si="134"/>
        <v>12105.17</v>
      </c>
      <c r="N125" s="48">
        <f t="shared" si="137"/>
        <v>0</v>
      </c>
      <c r="O125" s="48">
        <f t="shared" si="135"/>
        <v>0</v>
      </c>
      <c r="P125" s="48"/>
      <c r="Q125" s="48">
        <f t="shared" si="104"/>
        <v>0</v>
      </c>
      <c r="R125" s="48"/>
      <c r="S125" s="48"/>
      <c r="T125" s="48">
        <f t="shared" si="136"/>
        <v>0</v>
      </c>
      <c r="U125" s="48">
        <f t="shared" si="105"/>
        <v>0</v>
      </c>
      <c r="V125" s="48">
        <f t="shared" si="105"/>
        <v>0</v>
      </c>
    </row>
    <row r="126" spans="1:22" ht="47.45" customHeight="1" x14ac:dyDescent="0.25">
      <c r="A126" s="47"/>
      <c r="B126" s="322" t="s">
        <v>510</v>
      </c>
      <c r="C126" s="250"/>
      <c r="D126" s="47" t="s">
        <v>124</v>
      </c>
      <c r="E126" s="51">
        <v>0</v>
      </c>
      <c r="F126" s="51">
        <v>5</v>
      </c>
      <c r="G126" s="51">
        <v>5</v>
      </c>
      <c r="H126" s="51">
        <v>2</v>
      </c>
      <c r="I126" s="51">
        <v>2</v>
      </c>
      <c r="J126" s="48">
        <v>9078.8799999999992</v>
      </c>
      <c r="K126" s="48">
        <v>0</v>
      </c>
      <c r="L126" s="48">
        <v>0</v>
      </c>
      <c r="M126" s="48">
        <f t="shared" si="134"/>
        <v>9078.8799999999992</v>
      </c>
      <c r="N126" s="48">
        <f t="shared" si="137"/>
        <v>45394.399999999994</v>
      </c>
      <c r="O126" s="48">
        <f t="shared" si="135"/>
        <v>0</v>
      </c>
      <c r="P126" s="48"/>
      <c r="Q126" s="48">
        <f t="shared" si="104"/>
        <v>0</v>
      </c>
      <c r="R126" s="48"/>
      <c r="S126" s="48"/>
      <c r="T126" s="48">
        <f t="shared" si="136"/>
        <v>45394.399999999994</v>
      </c>
      <c r="U126" s="48">
        <f t="shared" si="105"/>
        <v>45394.399999999994</v>
      </c>
      <c r="V126" s="48">
        <f t="shared" si="105"/>
        <v>45394.399999999994</v>
      </c>
    </row>
    <row r="127" spans="1:22" ht="47.45" customHeight="1" x14ac:dyDescent="0.25">
      <c r="A127" s="47"/>
      <c r="B127" s="43" t="s">
        <v>511</v>
      </c>
      <c r="C127" s="250"/>
      <c r="D127" s="47" t="s">
        <v>124</v>
      </c>
      <c r="E127" s="51">
        <v>0</v>
      </c>
      <c r="F127" s="51">
        <v>8</v>
      </c>
      <c r="G127" s="51">
        <v>9</v>
      </c>
      <c r="H127" s="51">
        <v>2</v>
      </c>
      <c r="I127" s="51">
        <v>2</v>
      </c>
      <c r="J127" s="48">
        <v>14526.21</v>
      </c>
      <c r="K127" s="48">
        <v>0</v>
      </c>
      <c r="L127" s="48">
        <v>0</v>
      </c>
      <c r="M127" s="48">
        <f t="shared" si="134"/>
        <v>14526.21</v>
      </c>
      <c r="N127" s="48">
        <f t="shared" si="137"/>
        <v>130735.88999999998</v>
      </c>
      <c r="O127" s="48">
        <f t="shared" si="135"/>
        <v>0</v>
      </c>
      <c r="P127" s="48"/>
      <c r="Q127" s="48">
        <f t="shared" si="104"/>
        <v>0</v>
      </c>
      <c r="R127" s="48"/>
      <c r="S127" s="48"/>
      <c r="T127" s="48">
        <f t="shared" si="136"/>
        <v>130735.88999999998</v>
      </c>
      <c r="U127" s="48">
        <f t="shared" si="105"/>
        <v>130735.88999999998</v>
      </c>
      <c r="V127" s="48">
        <f t="shared" si="105"/>
        <v>130735.88999999998</v>
      </c>
    </row>
    <row r="128" spans="1:22" ht="28.9" customHeight="1" x14ac:dyDescent="0.25">
      <c r="A128" s="47"/>
      <c r="B128" s="43" t="s">
        <v>560</v>
      </c>
      <c r="C128" s="249"/>
      <c r="D128" s="47" t="s">
        <v>124</v>
      </c>
      <c r="E128" s="51">
        <v>6</v>
      </c>
      <c r="F128" s="51">
        <v>0</v>
      </c>
      <c r="G128" s="51">
        <v>0</v>
      </c>
      <c r="H128" s="51">
        <v>3</v>
      </c>
      <c r="I128" s="51">
        <v>3</v>
      </c>
      <c r="J128" s="48">
        <v>7263.1</v>
      </c>
      <c r="K128" s="48">
        <v>0</v>
      </c>
      <c r="L128" s="48">
        <v>0</v>
      </c>
      <c r="M128" s="48">
        <f t="shared" si="134"/>
        <v>7263.1</v>
      </c>
      <c r="N128" s="48">
        <f t="shared" si="137"/>
        <v>0</v>
      </c>
      <c r="O128" s="48">
        <f t="shared" si="135"/>
        <v>0</v>
      </c>
      <c r="P128" s="48"/>
      <c r="Q128" s="48">
        <f t="shared" si="104"/>
        <v>0</v>
      </c>
      <c r="R128" s="48"/>
      <c r="S128" s="48"/>
      <c r="T128" s="48">
        <f t="shared" si="108"/>
        <v>0</v>
      </c>
      <c r="U128" s="48">
        <f t="shared" si="105"/>
        <v>0</v>
      </c>
      <c r="V128" s="48">
        <f t="shared" si="105"/>
        <v>0</v>
      </c>
    </row>
    <row r="129" spans="1:29" ht="28.9" customHeight="1" x14ac:dyDescent="0.25">
      <c r="A129" s="47"/>
      <c r="B129" s="47" t="s">
        <v>322</v>
      </c>
      <c r="C129" s="246" t="s">
        <v>437</v>
      </c>
      <c r="D129" s="47" t="s">
        <v>124</v>
      </c>
      <c r="E129" s="51">
        <v>17</v>
      </c>
      <c r="F129" s="51">
        <v>17</v>
      </c>
      <c r="G129" s="51">
        <v>46</v>
      </c>
      <c r="H129" s="51">
        <v>46</v>
      </c>
      <c r="I129" s="51">
        <v>46</v>
      </c>
      <c r="J129" s="48">
        <v>4842.07</v>
      </c>
      <c r="K129" s="48">
        <v>0</v>
      </c>
      <c r="L129" s="48">
        <v>0</v>
      </c>
      <c r="M129" s="48">
        <f t="shared" si="134"/>
        <v>4842.07</v>
      </c>
      <c r="N129" s="48">
        <f t="shared" si="106"/>
        <v>222735.21999999997</v>
      </c>
      <c r="O129" s="48">
        <f t="shared" si="135"/>
        <v>0</v>
      </c>
      <c r="P129" s="48"/>
      <c r="Q129" s="48">
        <f t="shared" si="104"/>
        <v>0</v>
      </c>
      <c r="R129" s="48"/>
      <c r="S129" s="48"/>
      <c r="T129" s="48">
        <f t="shared" ref="T129" si="138">SUM(N129:Q129)</f>
        <v>222735.21999999997</v>
      </c>
      <c r="U129" s="48">
        <f t="shared" si="105"/>
        <v>222735.21999999997</v>
      </c>
      <c r="V129" s="48">
        <f t="shared" si="105"/>
        <v>222735.21999999997</v>
      </c>
    </row>
    <row r="130" spans="1:29" ht="24.6" customHeight="1" x14ac:dyDescent="0.25">
      <c r="A130" s="47"/>
      <c r="B130" s="47" t="s">
        <v>322</v>
      </c>
      <c r="C130" s="250"/>
      <c r="D130" s="47" t="s">
        <v>124</v>
      </c>
      <c r="E130" s="51">
        <v>2</v>
      </c>
      <c r="F130" s="51">
        <v>2</v>
      </c>
      <c r="G130" s="51">
        <f>3+1</f>
        <v>4</v>
      </c>
      <c r="H130" s="51">
        <f t="shared" ref="H130:I130" si="139">3+1</f>
        <v>4</v>
      </c>
      <c r="I130" s="51">
        <f t="shared" si="139"/>
        <v>4</v>
      </c>
      <c r="J130" s="48">
        <v>4842.07</v>
      </c>
      <c r="K130" s="48">
        <v>0</v>
      </c>
      <c r="L130" s="48">
        <v>0</v>
      </c>
      <c r="M130" s="48">
        <f t="shared" ref="M130" si="140">J130+K130+L130</f>
        <v>4842.07</v>
      </c>
      <c r="N130" s="48">
        <f t="shared" ref="N130" si="141">G130*J130</f>
        <v>19368.28</v>
      </c>
      <c r="O130" s="48">
        <f t="shared" ref="O130" si="142">G130*K130</f>
        <v>0</v>
      </c>
      <c r="P130" s="48"/>
      <c r="Q130" s="48">
        <f t="shared" ref="Q130" si="143">G130*L130</f>
        <v>0</v>
      </c>
      <c r="R130" s="48"/>
      <c r="S130" s="48"/>
      <c r="T130" s="48">
        <f t="shared" ref="T130" si="144">SUM(N130:Q130)</f>
        <v>19368.28</v>
      </c>
      <c r="U130" s="48">
        <f t="shared" ref="U130" si="145">T130</f>
        <v>19368.28</v>
      </c>
      <c r="V130" s="48">
        <f t="shared" ref="V130" si="146">U130</f>
        <v>19368.28</v>
      </c>
    </row>
    <row r="131" spans="1:29" ht="25.15" customHeight="1" x14ac:dyDescent="0.25">
      <c r="A131" s="47"/>
      <c r="B131" s="47" t="s">
        <v>316</v>
      </c>
      <c r="C131" s="250"/>
      <c r="D131" s="47" t="s">
        <v>124</v>
      </c>
      <c r="E131" s="51">
        <v>28</v>
      </c>
      <c r="F131" s="51">
        <f>27+14</f>
        <v>41</v>
      </c>
      <c r="G131" s="51">
        <v>10</v>
      </c>
      <c r="H131" s="51">
        <v>24</v>
      </c>
      <c r="I131" s="51">
        <v>24</v>
      </c>
      <c r="J131" s="48">
        <v>4842.07</v>
      </c>
      <c r="K131" s="48">
        <v>0</v>
      </c>
      <c r="L131" s="48">
        <v>0</v>
      </c>
      <c r="M131" s="48">
        <f t="shared" si="134"/>
        <v>4842.07</v>
      </c>
      <c r="N131" s="48">
        <f>G131*J131</f>
        <v>48420.7</v>
      </c>
      <c r="O131" s="48">
        <f t="shared" si="135"/>
        <v>0</v>
      </c>
      <c r="P131" s="48"/>
      <c r="Q131" s="48">
        <f t="shared" si="104"/>
        <v>0</v>
      </c>
      <c r="R131" s="48"/>
      <c r="S131" s="48"/>
      <c r="T131" s="48">
        <f t="shared" ref="T131" si="147">SUM(N131:Q131)</f>
        <v>48420.7</v>
      </c>
      <c r="U131" s="48">
        <f t="shared" si="105"/>
        <v>48420.7</v>
      </c>
      <c r="V131" s="48">
        <f t="shared" si="105"/>
        <v>48420.7</v>
      </c>
    </row>
    <row r="132" spans="1:29" ht="27.6" customHeight="1" x14ac:dyDescent="0.25">
      <c r="A132" s="43"/>
      <c r="B132" s="47" t="s">
        <v>438</v>
      </c>
      <c r="C132" s="249"/>
      <c r="D132" s="47" t="s">
        <v>124</v>
      </c>
      <c r="E132" s="51">
        <v>17</v>
      </c>
      <c r="F132" s="51">
        <v>14</v>
      </c>
      <c r="G132" s="51">
        <v>14</v>
      </c>
      <c r="H132" s="51">
        <v>16</v>
      </c>
      <c r="I132" s="51">
        <v>16</v>
      </c>
      <c r="J132" s="48">
        <v>7263.1</v>
      </c>
      <c r="K132" s="48">
        <v>0</v>
      </c>
      <c r="L132" s="48">
        <v>0</v>
      </c>
      <c r="M132" s="48">
        <f t="shared" si="101"/>
        <v>7263.1</v>
      </c>
      <c r="N132" s="48">
        <f>G132*J132</f>
        <v>101683.40000000001</v>
      </c>
      <c r="O132" s="48">
        <f t="shared" si="135"/>
        <v>0</v>
      </c>
      <c r="P132" s="48"/>
      <c r="Q132" s="48">
        <f t="shared" si="104"/>
        <v>0</v>
      </c>
      <c r="R132" s="48"/>
      <c r="S132" s="48"/>
      <c r="T132" s="48">
        <f t="shared" si="108"/>
        <v>101683.40000000001</v>
      </c>
      <c r="U132" s="48">
        <f t="shared" si="105"/>
        <v>101683.40000000001</v>
      </c>
      <c r="V132" s="48">
        <f t="shared" si="105"/>
        <v>101683.40000000001</v>
      </c>
    </row>
    <row r="133" spans="1:29" ht="62.45" customHeight="1" x14ac:dyDescent="0.25">
      <c r="A133" s="43" t="s">
        <v>127</v>
      </c>
      <c r="B133" s="47" t="s">
        <v>128</v>
      </c>
      <c r="C133" s="47" t="s">
        <v>54</v>
      </c>
      <c r="D133" s="47" t="s">
        <v>124</v>
      </c>
      <c r="E133" s="51">
        <f>E105+E106+E111+E116+E117+E120+E107+E110+E112+E114+E115+E119+E118</f>
        <v>115</v>
      </c>
      <c r="F133" s="51">
        <f>F105+F106+F111+F116+F117+F120+F107+F110+F112+F114+F115+F119+F118+F109+F108+F113</f>
        <v>101</v>
      </c>
      <c r="G133" s="51">
        <f>G105+G106+G111+G116+G117+G120+G107+G110+G112+G114+G115+G119+G118+G113+G108+G109</f>
        <v>101</v>
      </c>
      <c r="H133" s="51">
        <f t="shared" ref="H133:I133" si="148">H105+H106+H111+H116+H117+H120+H107+H110+H112+H114+H115+H119+H118+H113+H108+H109</f>
        <v>110</v>
      </c>
      <c r="I133" s="51">
        <f t="shared" si="148"/>
        <v>110</v>
      </c>
      <c r="J133" s="48">
        <v>0</v>
      </c>
      <c r="K133" s="48">
        <v>0</v>
      </c>
      <c r="L133" s="49">
        <f>61511.06</f>
        <v>61511.06</v>
      </c>
      <c r="M133" s="48">
        <f t="shared" si="101"/>
        <v>61511.06</v>
      </c>
      <c r="N133" s="48">
        <v>0</v>
      </c>
      <c r="O133" s="48">
        <f>G133*K133</f>
        <v>0</v>
      </c>
      <c r="P133" s="51"/>
      <c r="Q133" s="49">
        <f>G133*L133</f>
        <v>6212617.0599999996</v>
      </c>
      <c r="R133" s="48"/>
      <c r="S133" s="48"/>
      <c r="T133" s="49">
        <f>Q133</f>
        <v>6212617.0599999996</v>
      </c>
      <c r="U133" s="48">
        <f t="shared" si="105"/>
        <v>6212617.0599999996</v>
      </c>
      <c r="V133" s="48">
        <f t="shared" si="105"/>
        <v>6212617.0599999996</v>
      </c>
    </row>
    <row r="134" spans="1:29" ht="28.15" customHeight="1" x14ac:dyDescent="0.25">
      <c r="A134" s="322" t="s">
        <v>641</v>
      </c>
      <c r="B134" s="47" t="s">
        <v>128</v>
      </c>
      <c r="C134" s="47" t="s">
        <v>129</v>
      </c>
      <c r="D134" s="47"/>
      <c r="E134" s="51"/>
      <c r="F134" s="51"/>
      <c r="G134" s="52">
        <f>G133</f>
        <v>101</v>
      </c>
      <c r="H134" s="52">
        <f t="shared" ref="H134" si="149">H133</f>
        <v>110</v>
      </c>
      <c r="I134" s="52">
        <f>I133</f>
        <v>110</v>
      </c>
      <c r="J134" s="48"/>
      <c r="K134" s="48"/>
      <c r="L134" s="49">
        <v>20437.68</v>
      </c>
      <c r="M134" s="48">
        <f t="shared" si="101"/>
        <v>20437.68</v>
      </c>
      <c r="N134" s="48">
        <v>0</v>
      </c>
      <c r="O134" s="48"/>
      <c r="P134" s="51"/>
      <c r="Q134" s="48"/>
      <c r="R134" s="48"/>
      <c r="S134" s="49">
        <f>G134*L134</f>
        <v>2064205.68</v>
      </c>
      <c r="T134" s="49">
        <f>S134</f>
        <v>2064205.68</v>
      </c>
      <c r="U134" s="48">
        <f>T134</f>
        <v>2064205.68</v>
      </c>
      <c r="V134" s="48">
        <f>U134</f>
        <v>2064205.68</v>
      </c>
    </row>
    <row r="135" spans="1:29" ht="28.15" customHeight="1" x14ac:dyDescent="0.25">
      <c r="A135" s="246" t="s">
        <v>605</v>
      </c>
      <c r="B135" s="229" t="s">
        <v>495</v>
      </c>
      <c r="C135" s="47"/>
      <c r="D135" s="37" t="s">
        <v>24</v>
      </c>
      <c r="E135" s="51"/>
      <c r="F135" s="51">
        <v>30</v>
      </c>
      <c r="G135" s="51">
        <v>30</v>
      </c>
      <c r="H135" s="51">
        <f>30-30</f>
        <v>0</v>
      </c>
      <c r="I135" s="51">
        <f>30-30</f>
        <v>0</v>
      </c>
      <c r="J135" s="48"/>
      <c r="K135" s="48"/>
      <c r="L135" s="49"/>
      <c r="M135" s="48"/>
      <c r="N135" s="48">
        <v>0</v>
      </c>
      <c r="O135" s="48"/>
      <c r="P135" s="51"/>
      <c r="Q135" s="48"/>
      <c r="R135" s="48"/>
      <c r="S135" s="48"/>
      <c r="T135" s="48">
        <f>SUM(N135:Q135)</f>
        <v>0</v>
      </c>
      <c r="U135" s="48"/>
      <c r="V135" s="48"/>
    </row>
    <row r="136" spans="1:29" ht="28.15" customHeight="1" x14ac:dyDescent="0.25">
      <c r="A136" s="249"/>
      <c r="B136" s="230"/>
      <c r="C136" s="47" t="s">
        <v>607</v>
      </c>
      <c r="D136" s="298" t="s">
        <v>225</v>
      </c>
      <c r="E136" s="51">
        <v>0</v>
      </c>
      <c r="F136" s="51">
        <f>36*F135</f>
        <v>1080</v>
      </c>
      <c r="G136" s="52">
        <f>14*1*G135</f>
        <v>420</v>
      </c>
      <c r="H136" s="51">
        <v>0</v>
      </c>
      <c r="I136" s="51">
        <v>0</v>
      </c>
      <c r="J136" s="49">
        <v>341.23</v>
      </c>
      <c r="K136" s="48"/>
      <c r="L136" s="49"/>
      <c r="M136" s="48">
        <f>J136+K136+L136</f>
        <v>341.23</v>
      </c>
      <c r="N136" s="49">
        <f>G136*J136-263.85</f>
        <v>143052.75</v>
      </c>
      <c r="O136" s="48"/>
      <c r="P136" s="51"/>
      <c r="Q136" s="48"/>
      <c r="R136" s="48"/>
      <c r="S136" s="48"/>
      <c r="T136" s="49">
        <f>SUM(N136:Q136)</f>
        <v>143052.75</v>
      </c>
      <c r="U136" s="48">
        <f>H136*J136</f>
        <v>0</v>
      </c>
      <c r="V136" s="48">
        <f>I136*J136</f>
        <v>0</v>
      </c>
    </row>
    <row r="137" spans="1:29" ht="18" customHeight="1" x14ac:dyDescent="0.25">
      <c r="A137" s="207"/>
      <c r="B137" s="217"/>
      <c r="C137" s="162" t="s">
        <v>38</v>
      </c>
      <c r="D137" s="47"/>
      <c r="E137" s="51"/>
      <c r="F137" s="51">
        <v>30</v>
      </c>
      <c r="G137" s="52">
        <f>G135</f>
        <v>30</v>
      </c>
      <c r="H137" s="51">
        <f>H135</f>
        <v>0</v>
      </c>
      <c r="I137" s="51">
        <f>I135</f>
        <v>0</v>
      </c>
      <c r="J137" s="48" t="s">
        <v>26</v>
      </c>
      <c r="K137" s="48" t="s">
        <v>26</v>
      </c>
      <c r="L137" s="49" t="s">
        <v>26</v>
      </c>
      <c r="M137" s="48"/>
      <c r="N137" s="48"/>
      <c r="O137" s="48"/>
      <c r="P137" s="51"/>
      <c r="Q137" s="48"/>
      <c r="R137" s="48"/>
      <c r="S137" s="48"/>
      <c r="T137" s="49"/>
      <c r="U137" s="48"/>
      <c r="V137" s="48"/>
    </row>
    <row r="138" spans="1:29" ht="33" customHeight="1" x14ac:dyDescent="0.25">
      <c r="A138" s="246" t="s">
        <v>606</v>
      </c>
      <c r="B138" s="229" t="s">
        <v>495</v>
      </c>
      <c r="C138" s="47"/>
      <c r="D138" s="37" t="s">
        <v>24</v>
      </c>
      <c r="E138" s="51"/>
      <c r="F138" s="51">
        <v>30</v>
      </c>
      <c r="G138" s="51">
        <v>7</v>
      </c>
      <c r="H138" s="51">
        <v>7</v>
      </c>
      <c r="I138" s="51">
        <v>0</v>
      </c>
      <c r="J138" s="48"/>
      <c r="K138" s="48"/>
      <c r="L138" s="49"/>
      <c r="M138" s="48"/>
      <c r="N138" s="48">
        <v>0</v>
      </c>
      <c r="O138" s="48"/>
      <c r="P138" s="51"/>
      <c r="Q138" s="48"/>
      <c r="R138" s="48"/>
      <c r="S138" s="48"/>
      <c r="T138" s="48">
        <f>SUM(N138:Q138)</f>
        <v>0</v>
      </c>
      <c r="U138" s="48"/>
      <c r="V138" s="48"/>
    </row>
    <row r="139" spans="1:29" ht="28.15" customHeight="1" x14ac:dyDescent="0.25">
      <c r="A139" s="249"/>
      <c r="B139" s="230"/>
      <c r="C139" s="43" t="s">
        <v>610</v>
      </c>
      <c r="D139" s="298" t="s">
        <v>225</v>
      </c>
      <c r="E139" s="51">
        <v>0</v>
      </c>
      <c r="F139" s="51">
        <f>36*F138</f>
        <v>1080</v>
      </c>
      <c r="G139" s="52">
        <f>16*1*G138</f>
        <v>112</v>
      </c>
      <c r="H139" s="52">
        <f>18*1*H138</f>
        <v>126</v>
      </c>
      <c r="I139" s="51">
        <v>0</v>
      </c>
      <c r="J139" s="49">
        <v>341.3</v>
      </c>
      <c r="K139" s="48"/>
      <c r="L139" s="49"/>
      <c r="M139" s="48">
        <f>J139+K139+L139</f>
        <v>341.3</v>
      </c>
      <c r="N139" s="49">
        <f>G139*J139+629.2</f>
        <v>38854.799999999996</v>
      </c>
      <c r="O139" s="48"/>
      <c r="P139" s="51"/>
      <c r="Q139" s="48"/>
      <c r="R139" s="48"/>
      <c r="S139" s="48"/>
      <c r="T139" s="49">
        <f>SUM(N139:Q139)</f>
        <v>38854.799999999996</v>
      </c>
      <c r="U139" s="49">
        <f>H139*J139+409.57</f>
        <v>43413.37</v>
      </c>
      <c r="V139" s="48">
        <f>I139*J139</f>
        <v>0</v>
      </c>
    </row>
    <row r="140" spans="1:29" ht="18" customHeight="1" x14ac:dyDescent="0.25">
      <c r="A140" s="207"/>
      <c r="B140" s="217"/>
      <c r="C140" s="162" t="s">
        <v>38</v>
      </c>
      <c r="D140" s="47"/>
      <c r="E140" s="51"/>
      <c r="F140" s="51">
        <v>30</v>
      </c>
      <c r="G140" s="52">
        <f>G138</f>
        <v>7</v>
      </c>
      <c r="H140" s="52">
        <f>H138</f>
        <v>7</v>
      </c>
      <c r="I140" s="51">
        <f>I138</f>
        <v>0</v>
      </c>
      <c r="J140" s="48" t="s">
        <v>26</v>
      </c>
      <c r="K140" s="48" t="s">
        <v>26</v>
      </c>
      <c r="L140" s="49" t="s">
        <v>26</v>
      </c>
      <c r="M140" s="48"/>
      <c r="N140" s="48"/>
      <c r="O140" s="48"/>
      <c r="P140" s="51"/>
      <c r="Q140" s="48"/>
      <c r="R140" s="48"/>
      <c r="S140" s="48"/>
      <c r="T140" s="49"/>
      <c r="U140" s="48"/>
      <c r="V140" s="48"/>
    </row>
    <row r="141" spans="1:29" ht="28.9" customHeight="1" x14ac:dyDescent="0.25">
      <c r="A141" s="246" t="s">
        <v>618</v>
      </c>
      <c r="B141" s="229" t="s">
        <v>495</v>
      </c>
      <c r="C141" s="47"/>
      <c r="D141" s="37" t="s">
        <v>24</v>
      </c>
      <c r="E141" s="51"/>
      <c r="F141" s="51">
        <v>30</v>
      </c>
      <c r="G141" s="51">
        <v>10</v>
      </c>
      <c r="H141" s="51">
        <v>10</v>
      </c>
      <c r="I141" s="51">
        <v>0</v>
      </c>
      <c r="J141" s="48"/>
      <c r="K141" s="48"/>
      <c r="L141" s="49"/>
      <c r="M141" s="48"/>
      <c r="N141" s="48">
        <v>0</v>
      </c>
      <c r="O141" s="48"/>
      <c r="P141" s="51"/>
      <c r="Q141" s="48"/>
      <c r="R141" s="48"/>
      <c r="S141" s="48"/>
      <c r="T141" s="48">
        <f>SUM(N141:Q141)</f>
        <v>0</v>
      </c>
      <c r="U141" s="48"/>
      <c r="V141" s="48"/>
    </row>
    <row r="142" spans="1:29" ht="30.6" customHeight="1" x14ac:dyDescent="0.25">
      <c r="A142" s="249"/>
      <c r="B142" s="230"/>
      <c r="C142" s="43" t="s">
        <v>610</v>
      </c>
      <c r="D142" s="298" t="s">
        <v>225</v>
      </c>
      <c r="E142" s="51">
        <v>0</v>
      </c>
      <c r="F142" s="51">
        <f>36*F141</f>
        <v>1080</v>
      </c>
      <c r="G142" s="52">
        <f>16*1*G141</f>
        <v>160</v>
      </c>
      <c r="H142" s="52">
        <f>20*1*H141</f>
        <v>200</v>
      </c>
      <c r="I142" s="51">
        <v>0</v>
      </c>
      <c r="J142" s="49">
        <v>341.25</v>
      </c>
      <c r="K142" s="48"/>
      <c r="L142" s="49"/>
      <c r="M142" s="48">
        <f>J142+K142+L142</f>
        <v>341.25</v>
      </c>
      <c r="N142" s="49">
        <f>G142*J142+629.2</f>
        <v>55229.2</v>
      </c>
      <c r="O142" s="48"/>
      <c r="P142" s="51"/>
      <c r="Q142" s="48"/>
      <c r="R142" s="48"/>
      <c r="S142" s="48"/>
      <c r="T142" s="49">
        <f>SUM(N142:Q142)</f>
        <v>55229.2</v>
      </c>
      <c r="U142" s="49">
        <f>H142*J142+409.57</f>
        <v>68659.570000000007</v>
      </c>
      <c r="V142" s="48">
        <f>I142*J142</f>
        <v>0</v>
      </c>
    </row>
    <row r="143" spans="1:29" ht="18" customHeight="1" x14ac:dyDescent="0.25">
      <c r="A143" s="207"/>
      <c r="B143" s="217"/>
      <c r="C143" s="162" t="s">
        <v>38</v>
      </c>
      <c r="D143" s="47"/>
      <c r="E143" s="51"/>
      <c r="F143" s="51">
        <v>30</v>
      </c>
      <c r="G143" s="52">
        <f>G141</f>
        <v>10</v>
      </c>
      <c r="H143" s="52">
        <f>H141</f>
        <v>10</v>
      </c>
      <c r="I143" s="51">
        <f>I141</f>
        <v>0</v>
      </c>
      <c r="J143" s="48" t="s">
        <v>26</v>
      </c>
      <c r="K143" s="48" t="s">
        <v>26</v>
      </c>
      <c r="L143" s="49" t="s">
        <v>26</v>
      </c>
      <c r="M143" s="48"/>
      <c r="N143" s="48"/>
      <c r="O143" s="48"/>
      <c r="P143" s="51"/>
      <c r="Q143" s="48"/>
      <c r="R143" s="48"/>
      <c r="S143" s="48"/>
      <c r="T143" s="49"/>
      <c r="U143" s="48"/>
      <c r="V143" s="48"/>
    </row>
    <row r="144" spans="1:29" ht="21.6" customHeight="1" x14ac:dyDescent="0.25">
      <c r="A144" s="46" t="s">
        <v>142</v>
      </c>
      <c r="B144" s="46"/>
      <c r="C144" s="46"/>
      <c r="D144" s="46"/>
      <c r="E144" s="52"/>
      <c r="F144" s="52"/>
      <c r="G144" s="52"/>
      <c r="H144" s="52"/>
      <c r="I144" s="52"/>
      <c r="J144" s="49"/>
      <c r="K144" s="48"/>
      <c r="L144" s="49"/>
      <c r="M144" s="48">
        <f t="shared" si="101"/>
        <v>0</v>
      </c>
      <c r="N144" s="49">
        <f>N145</f>
        <v>18769865.339999996</v>
      </c>
      <c r="O144" s="49">
        <f>O145</f>
        <v>7357596.9899999993</v>
      </c>
      <c r="P144" s="49"/>
      <c r="Q144" s="49">
        <f>Q145+Q153-1.92</f>
        <v>16332558.879999997</v>
      </c>
      <c r="R144" s="49"/>
      <c r="S144" s="49">
        <f>S154</f>
        <v>2493396.96</v>
      </c>
      <c r="T144" s="49">
        <f>T145+T153+T154</f>
        <v>44953420.089999996</v>
      </c>
      <c r="U144" s="49">
        <f>U145+U153+U154</f>
        <v>44953420.089999996</v>
      </c>
      <c r="V144" s="49">
        <f>V145+V153+V154</f>
        <v>44953420.089999996</v>
      </c>
      <c r="W144" s="38">
        <v>6916925.5300000003</v>
      </c>
      <c r="X144" s="44">
        <f>W144-Q144</f>
        <v>-9415633.3499999978</v>
      </c>
      <c r="Y144" s="38">
        <f>X144/G153</f>
        <v>-77177.322540983587</v>
      </c>
      <c r="AA144" s="38">
        <v>6466219.5300000003</v>
      </c>
      <c r="AB144" s="44">
        <f>AA144-Q144</f>
        <v>-9866339.3499999978</v>
      </c>
      <c r="AC144" s="38">
        <f>AB144/I153</f>
        <v>-82219.494583333319</v>
      </c>
    </row>
    <row r="145" spans="1:29" ht="73.900000000000006" customHeight="1" x14ac:dyDescent="0.25">
      <c r="A145" s="43" t="s">
        <v>121</v>
      </c>
      <c r="B145" s="41" t="s">
        <v>122</v>
      </c>
      <c r="C145" s="41"/>
      <c r="D145" s="47"/>
      <c r="E145" s="51"/>
      <c r="F145" s="51"/>
      <c r="G145" s="51"/>
      <c r="H145" s="51"/>
      <c r="I145" s="51"/>
      <c r="J145" s="48"/>
      <c r="K145" s="48"/>
      <c r="L145" s="48"/>
      <c r="M145" s="48"/>
      <c r="N145" s="48">
        <f>SUM(N146:N152)</f>
        <v>18769865.339999996</v>
      </c>
      <c r="O145" s="48">
        <f>SUM(O146:O152)</f>
        <v>7357596.9899999993</v>
      </c>
      <c r="P145" s="48"/>
      <c r="Q145" s="49">
        <f>SUM(Q146:Q152)</f>
        <v>8828209.5599999987</v>
      </c>
      <c r="R145" s="48"/>
      <c r="S145" s="48"/>
      <c r="T145" s="49">
        <f>SUM(T146:T152)</f>
        <v>34955671.889999993</v>
      </c>
      <c r="U145" s="48">
        <f>SUM(U146:U152)</f>
        <v>34955671.889999993</v>
      </c>
      <c r="V145" s="48">
        <f>SUM(V146:V152)</f>
        <v>34955671.889999993</v>
      </c>
      <c r="W145" s="38">
        <v>17989534.530000001</v>
      </c>
      <c r="AA145" s="44">
        <f>17989534.53+U154</f>
        <v>20482931.490000002</v>
      </c>
      <c r="AB145" s="44">
        <f>U144-AA145</f>
        <v>24470488.599999994</v>
      </c>
    </row>
    <row r="146" spans="1:29" ht="103.15" customHeight="1" x14ac:dyDescent="0.25">
      <c r="A146" s="43"/>
      <c r="B146" s="47" t="s">
        <v>123</v>
      </c>
      <c r="C146" s="43" t="s">
        <v>291</v>
      </c>
      <c r="D146" s="47" t="s">
        <v>124</v>
      </c>
      <c r="E146" s="51">
        <f>18-18</f>
        <v>0</v>
      </c>
      <c r="F146" s="51">
        <f>18-18</f>
        <v>0</v>
      </c>
      <c r="G146" s="51">
        <v>0</v>
      </c>
      <c r="H146" s="51">
        <v>0</v>
      </c>
      <c r="I146" s="51">
        <v>0</v>
      </c>
      <c r="J146" s="48">
        <v>86493.99</v>
      </c>
      <c r="K146" s="48">
        <f>33955.33+10788.57</f>
        <v>44743.9</v>
      </c>
      <c r="L146" s="49">
        <v>72362.48</v>
      </c>
      <c r="M146" s="48">
        <f t="shared" si="101"/>
        <v>203600.37</v>
      </c>
      <c r="N146" s="48">
        <f>G146*J146</f>
        <v>0</v>
      </c>
      <c r="O146" s="48">
        <f>G146*K146</f>
        <v>0</v>
      </c>
      <c r="P146" s="320"/>
      <c r="Q146" s="48">
        <f>G146*L146</f>
        <v>0</v>
      </c>
      <c r="R146" s="48"/>
      <c r="S146" s="48"/>
      <c r="T146" s="48">
        <f>SUM(N146:Q146)</f>
        <v>0</v>
      </c>
      <c r="U146" s="48">
        <f t="shared" ref="U146:V153" si="150">T146</f>
        <v>0</v>
      </c>
      <c r="V146" s="48">
        <f t="shared" si="150"/>
        <v>0</v>
      </c>
      <c r="W146" s="44"/>
      <c r="X146" s="44">
        <f>W145-U144</f>
        <v>-26963885.559999995</v>
      </c>
    </row>
    <row r="147" spans="1:29" ht="103.15" customHeight="1" x14ac:dyDescent="0.25">
      <c r="A147" s="43"/>
      <c r="B147" s="47" t="s">
        <v>318</v>
      </c>
      <c r="C147" s="222" t="s">
        <v>499</v>
      </c>
      <c r="D147" s="47" t="s">
        <v>124</v>
      </c>
      <c r="E147" s="51">
        <v>21</v>
      </c>
      <c r="F147" s="51">
        <v>22</v>
      </c>
      <c r="G147" s="51">
        <v>16</v>
      </c>
      <c r="H147" s="51">
        <v>16</v>
      </c>
      <c r="I147" s="51">
        <v>16</v>
      </c>
      <c r="J147" s="48">
        <v>245948.56</v>
      </c>
      <c r="K147" s="48">
        <f>64533.72+18402.51*2</f>
        <v>101338.73999999999</v>
      </c>
      <c r="L147" s="49">
        <v>72361.48</v>
      </c>
      <c r="M147" s="48">
        <f t="shared" ref="M147" si="151">J147+K147+L147</f>
        <v>419648.77999999997</v>
      </c>
      <c r="N147" s="48">
        <f>G147*J147</f>
        <v>3935176.96</v>
      </c>
      <c r="O147" s="48">
        <f>G147*K147</f>
        <v>1621419.8399999999</v>
      </c>
      <c r="P147" s="51"/>
      <c r="Q147" s="48">
        <f>G147*L147+2</f>
        <v>1157785.68</v>
      </c>
      <c r="R147" s="48"/>
      <c r="S147" s="48"/>
      <c r="T147" s="48">
        <f>SUM(N147:Q147)</f>
        <v>6714382.4799999995</v>
      </c>
      <c r="U147" s="48">
        <f t="shared" ref="U147" si="152">T147</f>
        <v>6714382.4799999995</v>
      </c>
      <c r="V147" s="48">
        <f t="shared" ref="V147" si="153">U147</f>
        <v>6714382.4799999995</v>
      </c>
      <c r="W147" s="44"/>
      <c r="X147" s="44"/>
    </row>
    <row r="148" spans="1:29" ht="31.15" customHeight="1" x14ac:dyDescent="0.25">
      <c r="A148" s="43"/>
      <c r="B148" s="47" t="s">
        <v>318</v>
      </c>
      <c r="C148" s="246" t="s">
        <v>579</v>
      </c>
      <c r="D148" s="47" t="s">
        <v>124</v>
      </c>
      <c r="E148" s="51">
        <v>21</v>
      </c>
      <c r="F148" s="51">
        <v>22</v>
      </c>
      <c r="G148" s="51">
        <v>15</v>
      </c>
      <c r="H148" s="51">
        <v>13</v>
      </c>
      <c r="I148" s="51">
        <v>13</v>
      </c>
      <c r="J148" s="48">
        <v>132713.06</v>
      </c>
      <c r="K148" s="48">
        <f>32326.86+18402.51</f>
        <v>50729.369999999995</v>
      </c>
      <c r="L148" s="49">
        <v>72362.48</v>
      </c>
      <c r="M148" s="48">
        <f t="shared" si="101"/>
        <v>255804.90999999997</v>
      </c>
      <c r="N148" s="48">
        <f>G148*J148</f>
        <v>1990695.9</v>
      </c>
      <c r="O148" s="48">
        <f>G148*K148</f>
        <v>760940.54999999993</v>
      </c>
      <c r="P148" s="51"/>
      <c r="Q148" s="48">
        <f>G148*L148+2</f>
        <v>1085439.2</v>
      </c>
      <c r="R148" s="48"/>
      <c r="S148" s="48"/>
      <c r="T148" s="48">
        <f>SUM(N148:Q148)</f>
        <v>3837075.6499999994</v>
      </c>
      <c r="U148" s="48">
        <f t="shared" si="150"/>
        <v>3837075.6499999994</v>
      </c>
      <c r="V148" s="48">
        <f t="shared" si="150"/>
        <v>3837075.6499999994</v>
      </c>
    </row>
    <row r="149" spans="1:29" ht="30.6" customHeight="1" x14ac:dyDescent="0.25">
      <c r="A149" s="43"/>
      <c r="B149" s="47" t="s">
        <v>123</v>
      </c>
      <c r="C149" s="250"/>
      <c r="D149" s="47" t="s">
        <v>124</v>
      </c>
      <c r="E149" s="51">
        <v>16</v>
      </c>
      <c r="F149" s="51">
        <v>16</v>
      </c>
      <c r="G149" s="51">
        <v>18</v>
      </c>
      <c r="H149" s="51">
        <v>19</v>
      </c>
      <c r="I149" s="51">
        <v>19</v>
      </c>
      <c r="J149" s="48">
        <v>175329.95</v>
      </c>
      <c r="K149" s="48">
        <f>43062.49+18402.51*1.5</f>
        <v>70666.255000000005</v>
      </c>
      <c r="L149" s="49">
        <v>72362.48</v>
      </c>
      <c r="M149" s="48">
        <f t="shared" si="101"/>
        <v>318358.685</v>
      </c>
      <c r="N149" s="48">
        <f t="shared" ref="N149" si="154">G149*J149</f>
        <v>3155939.1</v>
      </c>
      <c r="O149" s="48">
        <f>G149*K149</f>
        <v>1271992.5900000001</v>
      </c>
      <c r="P149" s="51"/>
      <c r="Q149" s="48">
        <f t="shared" ref="Q149" si="155">G149*L149</f>
        <v>1302524.6399999999</v>
      </c>
      <c r="R149" s="48"/>
      <c r="S149" s="48"/>
      <c r="T149" s="48">
        <f t="shared" ref="T149:T152" si="156">SUM(N149:Q149)</f>
        <v>5730456.3300000001</v>
      </c>
      <c r="U149" s="48">
        <f t="shared" si="150"/>
        <v>5730456.3300000001</v>
      </c>
      <c r="V149" s="48">
        <f t="shared" si="150"/>
        <v>5730456.3300000001</v>
      </c>
    </row>
    <row r="150" spans="1:29" ht="30.6" customHeight="1" x14ac:dyDescent="0.25">
      <c r="A150" s="43"/>
      <c r="B150" s="47" t="s">
        <v>123</v>
      </c>
      <c r="C150" s="250"/>
      <c r="D150" s="47" t="s">
        <v>124</v>
      </c>
      <c r="E150" s="51"/>
      <c r="F150" s="51"/>
      <c r="G150" s="51">
        <v>1</v>
      </c>
      <c r="H150" s="51">
        <v>0</v>
      </c>
      <c r="I150" s="51">
        <v>0</v>
      </c>
      <c r="J150" s="48">
        <v>132713.06</v>
      </c>
      <c r="K150" s="48">
        <f>32326.86+18402.51</f>
        <v>50729.369999999995</v>
      </c>
      <c r="L150" s="49">
        <v>72361.48</v>
      </c>
      <c r="M150" s="48">
        <f t="shared" ref="M150" si="157">J150+K150+L150</f>
        <v>255803.90999999997</v>
      </c>
      <c r="N150" s="48">
        <f>G150*J150</f>
        <v>132713.06</v>
      </c>
      <c r="O150" s="48">
        <f t="shared" ref="O150" si="158">G150*K150</f>
        <v>50729.369999999995</v>
      </c>
      <c r="P150" s="51"/>
      <c r="Q150" s="48">
        <f>G150*L150</f>
        <v>72361.48</v>
      </c>
      <c r="R150" s="48"/>
      <c r="S150" s="48"/>
      <c r="T150" s="48">
        <f>SUM(N150:Q150)</f>
        <v>255803.90999999997</v>
      </c>
      <c r="U150" s="48">
        <f>T150</f>
        <v>255803.90999999997</v>
      </c>
      <c r="V150" s="48">
        <f>U150</f>
        <v>255803.90999999997</v>
      </c>
    </row>
    <row r="151" spans="1:29" ht="31.9" customHeight="1" x14ac:dyDescent="0.25">
      <c r="A151" s="47" t="s">
        <v>552</v>
      </c>
      <c r="B151" s="47" t="s">
        <v>318</v>
      </c>
      <c r="C151" s="321"/>
      <c r="D151" s="47" t="s">
        <v>124</v>
      </c>
      <c r="E151" s="51">
        <v>2</v>
      </c>
      <c r="F151" s="51">
        <v>1</v>
      </c>
      <c r="G151" s="52">
        <v>2</v>
      </c>
      <c r="H151" s="52">
        <v>2</v>
      </c>
      <c r="I151" s="52">
        <v>2</v>
      </c>
      <c r="J151" s="48">
        <v>132713.06</v>
      </c>
      <c r="K151" s="48">
        <f>32326.86+18402.51</f>
        <v>50729.369999999995</v>
      </c>
      <c r="L151" s="49">
        <v>72362.48</v>
      </c>
      <c r="M151" s="48">
        <f t="shared" si="101"/>
        <v>255804.90999999997</v>
      </c>
      <c r="N151" s="48">
        <f>G151*J151</f>
        <v>265426.12</v>
      </c>
      <c r="O151" s="48">
        <f t="shared" ref="O151" si="159">G151*K151</f>
        <v>101458.73999999999</v>
      </c>
      <c r="P151" s="51"/>
      <c r="Q151" s="48">
        <f>G151*L151</f>
        <v>144724.96</v>
      </c>
      <c r="R151" s="48"/>
      <c r="S151" s="48"/>
      <c r="T151" s="48">
        <f>SUM(N151:Q151)</f>
        <v>511609.81999999995</v>
      </c>
      <c r="U151" s="48">
        <f>T151</f>
        <v>511609.81999999995</v>
      </c>
      <c r="V151" s="48">
        <f>U151</f>
        <v>511609.81999999995</v>
      </c>
    </row>
    <row r="152" spans="1:29" ht="28.9" customHeight="1" x14ac:dyDescent="0.25">
      <c r="A152" s="47"/>
      <c r="B152" s="47" t="s">
        <v>316</v>
      </c>
      <c r="C152" s="318"/>
      <c r="D152" s="47" t="s">
        <v>124</v>
      </c>
      <c r="E152" s="51">
        <v>89</v>
      </c>
      <c r="F152" s="51">
        <v>80</v>
      </c>
      <c r="G152" s="51">
        <f>86-16</f>
        <v>70</v>
      </c>
      <c r="H152" s="51">
        <f t="shared" ref="H152:I152" si="160">86-16</f>
        <v>70</v>
      </c>
      <c r="I152" s="51">
        <f t="shared" si="160"/>
        <v>70</v>
      </c>
      <c r="J152" s="48">
        <f>95705.64+37007.42</f>
        <v>132713.06</v>
      </c>
      <c r="K152" s="48">
        <f>32326.86+18402.51</f>
        <v>50729.369999999995</v>
      </c>
      <c r="L152" s="49">
        <v>72362.48</v>
      </c>
      <c r="M152" s="48">
        <f t="shared" si="101"/>
        <v>255804.90999999997</v>
      </c>
      <c r="N152" s="48">
        <f>G152*J152</f>
        <v>9289914.1999999993</v>
      </c>
      <c r="O152" s="49">
        <f>G152*K152</f>
        <v>3551055.8999999994</v>
      </c>
      <c r="P152" s="320"/>
      <c r="Q152" s="48">
        <f>G152*L152</f>
        <v>5065373.5999999996</v>
      </c>
      <c r="R152" s="48"/>
      <c r="S152" s="48"/>
      <c r="T152" s="48">
        <f t="shared" si="156"/>
        <v>17906343.699999996</v>
      </c>
      <c r="U152" s="48">
        <f t="shared" si="150"/>
        <v>17906343.699999996</v>
      </c>
      <c r="V152" s="48">
        <f t="shared" si="150"/>
        <v>17906343.699999996</v>
      </c>
    </row>
    <row r="153" spans="1:29" ht="61.9" customHeight="1" x14ac:dyDescent="0.25">
      <c r="A153" s="43" t="s">
        <v>127</v>
      </c>
      <c r="B153" s="47" t="s">
        <v>128</v>
      </c>
      <c r="C153" s="47" t="s">
        <v>54</v>
      </c>
      <c r="D153" s="47" t="s">
        <v>124</v>
      </c>
      <c r="E153" s="51">
        <f>E146+E148+E149+E151+E152</f>
        <v>128</v>
      </c>
      <c r="F153" s="52">
        <f>F146+F148+F149+F151+F152</f>
        <v>119</v>
      </c>
      <c r="G153" s="52">
        <f>G146+G148+G149+G151+G152+G150+G147</f>
        <v>122</v>
      </c>
      <c r="H153" s="52">
        <f t="shared" ref="H153:I153" si="161">H146+H148+H149+H151+H152+H150+H147</f>
        <v>120</v>
      </c>
      <c r="I153" s="52">
        <f t="shared" si="161"/>
        <v>120</v>
      </c>
      <c r="J153" s="48">
        <v>0</v>
      </c>
      <c r="K153" s="48">
        <v>0</v>
      </c>
      <c r="L153" s="49">
        <v>61511.06</v>
      </c>
      <c r="M153" s="48">
        <f t="shared" si="101"/>
        <v>61511.06</v>
      </c>
      <c r="N153" s="48">
        <f>G153*J153</f>
        <v>0</v>
      </c>
      <c r="O153" s="48">
        <f>G153*K153</f>
        <v>0</v>
      </c>
      <c r="P153" s="51"/>
      <c r="Q153" s="49">
        <f>G153*L153+1.92</f>
        <v>7504351.2399999993</v>
      </c>
      <c r="R153" s="48"/>
      <c r="S153" s="48"/>
      <c r="T153" s="49">
        <f>SUM(N153:Q153)</f>
        <v>7504351.2399999993</v>
      </c>
      <c r="U153" s="48">
        <f t="shared" si="150"/>
        <v>7504351.2399999993</v>
      </c>
      <c r="V153" s="48">
        <f t="shared" si="150"/>
        <v>7504351.2399999993</v>
      </c>
    </row>
    <row r="154" spans="1:29" ht="30" customHeight="1" x14ac:dyDescent="0.25">
      <c r="A154" s="47" t="s">
        <v>594</v>
      </c>
      <c r="B154" s="47" t="s">
        <v>128</v>
      </c>
      <c r="C154" s="47" t="s">
        <v>129</v>
      </c>
      <c r="D154" s="47"/>
      <c r="E154" s="51"/>
      <c r="F154" s="51"/>
      <c r="G154" s="52">
        <f>G153</f>
        <v>122</v>
      </c>
      <c r="H154" s="52">
        <f t="shared" ref="H154:I154" si="162">H153</f>
        <v>120</v>
      </c>
      <c r="I154" s="52">
        <f t="shared" si="162"/>
        <v>120</v>
      </c>
      <c r="J154" s="48"/>
      <c r="K154" s="48"/>
      <c r="L154" s="49">
        <v>20437.68</v>
      </c>
      <c r="M154" s="48">
        <f t="shared" si="101"/>
        <v>20437.68</v>
      </c>
      <c r="N154" s="51"/>
      <c r="O154" s="48"/>
      <c r="P154" s="51"/>
      <c r="Q154" s="48"/>
      <c r="R154" s="48"/>
      <c r="S154" s="49">
        <f>G154*L154</f>
        <v>2493396.96</v>
      </c>
      <c r="T154" s="49">
        <f>S154</f>
        <v>2493396.96</v>
      </c>
      <c r="U154" s="48">
        <f>T154</f>
        <v>2493396.96</v>
      </c>
      <c r="V154" s="48">
        <f>U154</f>
        <v>2493396.96</v>
      </c>
    </row>
    <row r="155" spans="1:29" ht="21" customHeight="1" x14ac:dyDescent="0.25">
      <c r="A155" s="46" t="s">
        <v>143</v>
      </c>
      <c r="B155" s="46"/>
      <c r="C155" s="46"/>
      <c r="D155" s="46"/>
      <c r="E155" s="52"/>
      <c r="F155" s="52"/>
      <c r="G155" s="52"/>
      <c r="H155" s="52"/>
      <c r="I155" s="52"/>
      <c r="J155" s="49"/>
      <c r="K155" s="48"/>
      <c r="L155" s="49"/>
      <c r="M155" s="48">
        <f t="shared" si="101"/>
        <v>0</v>
      </c>
      <c r="N155" s="49">
        <f>N156+N168+N171</f>
        <v>18804692.219999995</v>
      </c>
      <c r="O155" s="49">
        <f>O156</f>
        <v>8182820.6549999993</v>
      </c>
      <c r="P155" s="52"/>
      <c r="Q155" s="49">
        <f>Q156+Q165</f>
        <v>16466429.420000002</v>
      </c>
      <c r="R155" s="49"/>
      <c r="S155" s="49">
        <f>S166</f>
        <v>2513834.64</v>
      </c>
      <c r="T155" s="49">
        <f>T156+T165+T166+T168+T171</f>
        <v>45967776.93500001</v>
      </c>
      <c r="U155" s="49">
        <f>U156+U165+U166+U168+U171</f>
        <v>45795861.36500001</v>
      </c>
      <c r="V155" s="49">
        <f>V156+V165+V166+V168</f>
        <v>45631680.585000008</v>
      </c>
      <c r="W155" s="38">
        <v>7637084.2800000003</v>
      </c>
      <c r="X155" s="44">
        <f>W155-Q155</f>
        <v>-8829345.1400000006</v>
      </c>
      <c r="Y155" s="38">
        <f>X155/G165</f>
        <v>-71783.293821138213</v>
      </c>
      <c r="AA155" s="38">
        <v>7421318.2800000003</v>
      </c>
      <c r="AB155" s="44">
        <f>AA155-Q155</f>
        <v>-9045111.1400000006</v>
      </c>
      <c r="AC155" s="38">
        <f>AB155/I165</f>
        <v>-73537.48894308944</v>
      </c>
    </row>
    <row r="156" spans="1:29" ht="79.900000000000006" customHeight="1" x14ac:dyDescent="0.25">
      <c r="A156" s="43" t="s">
        <v>121</v>
      </c>
      <c r="B156" s="41" t="s">
        <v>122</v>
      </c>
      <c r="C156" s="41"/>
      <c r="D156" s="47"/>
      <c r="E156" s="51"/>
      <c r="F156" s="51"/>
      <c r="G156" s="51"/>
      <c r="H156" s="51"/>
      <c r="I156" s="51"/>
      <c r="J156" s="48"/>
      <c r="K156" s="48"/>
      <c r="L156" s="48"/>
      <c r="M156" s="48"/>
      <c r="N156" s="48">
        <f>SUM(N157:N164)</f>
        <v>18468595.869999997</v>
      </c>
      <c r="O156" s="48">
        <f t="shared" ref="O156:V156" si="163">SUM(O157:O164)</f>
        <v>8182820.6549999993</v>
      </c>
      <c r="P156" s="48">
        <f t="shared" si="163"/>
        <v>0</v>
      </c>
      <c r="Q156" s="49">
        <f t="shared" si="163"/>
        <v>8900569.040000001</v>
      </c>
      <c r="R156" s="48">
        <f t="shared" si="163"/>
        <v>0</v>
      </c>
      <c r="S156" s="48"/>
      <c r="T156" s="49">
        <f t="shared" si="163"/>
        <v>35551985.565000005</v>
      </c>
      <c r="U156" s="48">
        <f t="shared" si="163"/>
        <v>35551985.565000005</v>
      </c>
      <c r="V156" s="48">
        <f t="shared" si="163"/>
        <v>35551985.565000005</v>
      </c>
      <c r="W156" s="44">
        <v>18749103.280000001</v>
      </c>
      <c r="Y156" s="44"/>
      <c r="AA156" s="44">
        <f>18749103.28+U166</f>
        <v>21262937.920000002</v>
      </c>
      <c r="AB156" s="44">
        <f>U155-AA156</f>
        <v>24532923.445000008</v>
      </c>
    </row>
    <row r="157" spans="1:29" ht="108" customHeight="1" x14ac:dyDescent="0.25">
      <c r="A157" s="43"/>
      <c r="B157" s="43" t="s">
        <v>123</v>
      </c>
      <c r="C157" s="222" t="s">
        <v>291</v>
      </c>
      <c r="D157" s="47" t="s">
        <v>124</v>
      </c>
      <c r="E157" s="51">
        <v>16</v>
      </c>
      <c r="F157" s="51">
        <v>14</v>
      </c>
      <c r="G157" s="51">
        <v>14</v>
      </c>
      <c r="H157" s="51">
        <v>14</v>
      </c>
      <c r="I157" s="51">
        <v>14</v>
      </c>
      <c r="J157" s="48">
        <v>86493.99</v>
      </c>
      <c r="K157" s="48">
        <f>43062.49+18402.51*1</f>
        <v>61465</v>
      </c>
      <c r="L157" s="49">
        <v>72362.48</v>
      </c>
      <c r="M157" s="48">
        <f t="shared" ref="M157:M158" si="164">J157+K157+L157</f>
        <v>220321.46999999997</v>
      </c>
      <c r="N157" s="48">
        <f t="shared" ref="N157:N163" si="165">G157*J157</f>
        <v>1210915.8600000001</v>
      </c>
      <c r="O157" s="48">
        <f>G157*K157</f>
        <v>860510</v>
      </c>
      <c r="P157" s="51"/>
      <c r="Q157" s="48">
        <f t="shared" ref="Q157:Q163" si="166">G157*L157</f>
        <v>1013074.72</v>
      </c>
      <c r="R157" s="48"/>
      <c r="S157" s="48"/>
      <c r="T157" s="48">
        <f t="shared" ref="T157:T165" si="167">SUM(N157:Q157)</f>
        <v>3084500.58</v>
      </c>
      <c r="U157" s="48">
        <f t="shared" ref="U157:V163" si="168">T157</f>
        <v>3084500.58</v>
      </c>
      <c r="V157" s="48">
        <f t="shared" si="168"/>
        <v>3084500.58</v>
      </c>
      <c r="W157" s="44"/>
      <c r="Y157" s="44"/>
      <c r="AA157" s="44"/>
      <c r="AB157" s="44"/>
    </row>
    <row r="158" spans="1:29" ht="108" customHeight="1" x14ac:dyDescent="0.25">
      <c r="A158" s="43" t="s">
        <v>328</v>
      </c>
      <c r="B158" s="47" t="s">
        <v>563</v>
      </c>
      <c r="C158" s="222" t="s">
        <v>499</v>
      </c>
      <c r="D158" s="47" t="s">
        <v>124</v>
      </c>
      <c r="E158" s="51">
        <v>14</v>
      </c>
      <c r="F158" s="51">
        <v>23</v>
      </c>
      <c r="G158" s="51">
        <v>16</v>
      </c>
      <c r="H158" s="51">
        <v>39</v>
      </c>
      <c r="I158" s="51">
        <v>39</v>
      </c>
      <c r="J158" s="48">
        <v>245948.56</v>
      </c>
      <c r="K158" s="48">
        <f>64533.72+18402.51*2</f>
        <v>101338.73999999999</v>
      </c>
      <c r="L158" s="49">
        <v>72361.48</v>
      </c>
      <c r="M158" s="48">
        <f t="shared" si="164"/>
        <v>419648.77999999997</v>
      </c>
      <c r="N158" s="48">
        <f t="shared" ref="N158" si="169">G158*J158</f>
        <v>3935176.96</v>
      </c>
      <c r="O158" s="48">
        <f>G158*K158</f>
        <v>1621419.8399999999</v>
      </c>
      <c r="P158" s="51"/>
      <c r="Q158" s="48">
        <f t="shared" si="166"/>
        <v>1157783.68</v>
      </c>
      <c r="R158" s="48"/>
      <c r="S158" s="48"/>
      <c r="T158" s="48">
        <f t="shared" si="167"/>
        <v>6714380.4799999995</v>
      </c>
      <c r="U158" s="48">
        <f t="shared" ref="U158" si="170">T158</f>
        <v>6714380.4799999995</v>
      </c>
      <c r="V158" s="48">
        <f t="shared" ref="V158" si="171">U158</f>
        <v>6714380.4799999995</v>
      </c>
      <c r="W158" s="44"/>
      <c r="Y158" s="44"/>
      <c r="AA158" s="44"/>
      <c r="AB158" s="44"/>
    </row>
    <row r="159" spans="1:29" ht="26.45" customHeight="1" x14ac:dyDescent="0.25">
      <c r="A159" s="43"/>
      <c r="B159" s="47" t="s">
        <v>123</v>
      </c>
      <c r="C159" s="246" t="s">
        <v>574</v>
      </c>
      <c r="D159" s="47" t="s">
        <v>124</v>
      </c>
      <c r="E159" s="51">
        <v>14</v>
      </c>
      <c r="F159" s="51">
        <v>23</v>
      </c>
      <c r="G159" s="51">
        <v>16</v>
      </c>
      <c r="H159" s="51">
        <v>16</v>
      </c>
      <c r="I159" s="51">
        <v>16</v>
      </c>
      <c r="J159" s="48">
        <v>175329.95</v>
      </c>
      <c r="K159" s="48">
        <f>43062.49+18402.51*1.5</f>
        <v>70666.255000000005</v>
      </c>
      <c r="L159" s="49">
        <v>72362.48</v>
      </c>
      <c r="M159" s="48">
        <f t="shared" si="101"/>
        <v>318358.685</v>
      </c>
      <c r="N159" s="48">
        <f t="shared" si="165"/>
        <v>2805279.2</v>
      </c>
      <c r="O159" s="48">
        <f>G159*K159</f>
        <v>1130660.08</v>
      </c>
      <c r="P159" s="51"/>
      <c r="Q159" s="48">
        <f t="shared" si="166"/>
        <v>1157799.68</v>
      </c>
      <c r="R159" s="48"/>
      <c r="S159" s="48"/>
      <c r="T159" s="48">
        <f t="shared" si="167"/>
        <v>5093738.96</v>
      </c>
      <c r="U159" s="48">
        <f t="shared" si="168"/>
        <v>5093738.96</v>
      </c>
      <c r="V159" s="48">
        <f t="shared" si="168"/>
        <v>5093738.96</v>
      </c>
    </row>
    <row r="160" spans="1:29" ht="25.9" customHeight="1" x14ac:dyDescent="0.25">
      <c r="A160" s="47" t="s">
        <v>329</v>
      </c>
      <c r="B160" s="47" t="s">
        <v>316</v>
      </c>
      <c r="C160" s="331"/>
      <c r="D160" s="47" t="s">
        <v>124</v>
      </c>
      <c r="E160" s="51">
        <v>1</v>
      </c>
      <c r="F160" s="51">
        <v>1</v>
      </c>
      <c r="G160" s="52">
        <f>1-1</f>
        <v>0</v>
      </c>
      <c r="H160" s="52">
        <f>1-1</f>
        <v>0</v>
      </c>
      <c r="I160" s="52">
        <f>1-1</f>
        <v>0</v>
      </c>
      <c r="J160" s="48">
        <v>132713.06</v>
      </c>
      <c r="K160" s="48">
        <f>32326.86+18402.51*1</f>
        <v>50729.369999999995</v>
      </c>
      <c r="L160" s="49">
        <v>72362.48</v>
      </c>
      <c r="M160" s="48">
        <f t="shared" si="101"/>
        <v>255804.90999999997</v>
      </c>
      <c r="N160" s="48">
        <f t="shared" si="165"/>
        <v>0</v>
      </c>
      <c r="O160" s="48">
        <f t="shared" ref="O160" si="172">G160*K160</f>
        <v>0</v>
      </c>
      <c r="P160" s="51"/>
      <c r="Q160" s="48">
        <f t="shared" si="166"/>
        <v>0</v>
      </c>
      <c r="R160" s="48"/>
      <c r="S160" s="48"/>
      <c r="T160" s="48">
        <f t="shared" si="167"/>
        <v>0</v>
      </c>
      <c r="U160" s="48">
        <f t="shared" si="168"/>
        <v>0</v>
      </c>
      <c r="V160" s="48">
        <f t="shared" si="168"/>
        <v>0</v>
      </c>
      <c r="X160" s="44">
        <f>W156-U155</f>
        <v>-27046758.085000008</v>
      </c>
    </row>
    <row r="161" spans="1:29" ht="25.15" customHeight="1" x14ac:dyDescent="0.25">
      <c r="A161" s="47"/>
      <c r="B161" s="47" t="s">
        <v>316</v>
      </c>
      <c r="C161" s="331"/>
      <c r="D161" s="47" t="s">
        <v>124</v>
      </c>
      <c r="E161" s="51">
        <v>54</v>
      </c>
      <c r="F161" s="51">
        <v>60</v>
      </c>
      <c r="G161" s="51">
        <v>68</v>
      </c>
      <c r="H161" s="51">
        <f>51-6</f>
        <v>45</v>
      </c>
      <c r="I161" s="51">
        <f>51-6</f>
        <v>45</v>
      </c>
      <c r="J161" s="48">
        <v>132713.06</v>
      </c>
      <c r="K161" s="48">
        <f t="shared" ref="K161" si="173">32326.86+18402.51*1</f>
        <v>50729.369999999995</v>
      </c>
      <c r="L161" s="49">
        <v>72362.48</v>
      </c>
      <c r="M161" s="48">
        <f t="shared" si="101"/>
        <v>255804.90999999997</v>
      </c>
      <c r="N161" s="48">
        <f t="shared" si="165"/>
        <v>9024488.0800000001</v>
      </c>
      <c r="O161" s="48">
        <f>G161*K161+9201.25</f>
        <v>3458798.4099999997</v>
      </c>
      <c r="P161" s="51"/>
      <c r="Q161" s="48">
        <f t="shared" si="166"/>
        <v>4920648.6399999997</v>
      </c>
      <c r="R161" s="48"/>
      <c r="S161" s="48"/>
      <c r="T161" s="48">
        <f t="shared" si="167"/>
        <v>17403935.129999999</v>
      </c>
      <c r="U161" s="48">
        <f t="shared" si="168"/>
        <v>17403935.129999999</v>
      </c>
      <c r="V161" s="48">
        <f t="shared" si="168"/>
        <v>17403935.129999999</v>
      </c>
    </row>
    <row r="162" spans="1:29" ht="27" customHeight="1" x14ac:dyDescent="0.25">
      <c r="A162" s="47"/>
      <c r="B162" s="47" t="s">
        <v>316</v>
      </c>
      <c r="C162" s="331"/>
      <c r="D162" s="47" t="s">
        <v>124</v>
      </c>
      <c r="E162" s="51">
        <v>8</v>
      </c>
      <c r="F162" s="51">
        <f>8-3</f>
        <v>5</v>
      </c>
      <c r="G162" s="51">
        <f>7</f>
        <v>7</v>
      </c>
      <c r="H162" s="51">
        <f>7</f>
        <v>7</v>
      </c>
      <c r="I162" s="51">
        <f>7</f>
        <v>7</v>
      </c>
      <c r="J162" s="48">
        <v>175329.95</v>
      </c>
      <c r="K162" s="48">
        <f>43062.49+18402.51*1.5</f>
        <v>70666.255000000005</v>
      </c>
      <c r="L162" s="49">
        <v>72362.48</v>
      </c>
      <c r="M162" s="48">
        <f t="shared" si="101"/>
        <v>318358.685</v>
      </c>
      <c r="N162" s="48">
        <f t="shared" si="165"/>
        <v>1227309.6500000001</v>
      </c>
      <c r="O162" s="48">
        <f>G162*K162</f>
        <v>494663.78500000003</v>
      </c>
      <c r="P162" s="51"/>
      <c r="Q162" s="48">
        <f t="shared" si="166"/>
        <v>506537.36</v>
      </c>
      <c r="R162" s="48"/>
      <c r="S162" s="48"/>
      <c r="T162" s="48">
        <f t="shared" si="167"/>
        <v>2228510.7949999999</v>
      </c>
      <c r="U162" s="48">
        <f t="shared" si="168"/>
        <v>2228510.7949999999</v>
      </c>
      <c r="V162" s="48">
        <f t="shared" si="168"/>
        <v>2228510.7949999999</v>
      </c>
    </row>
    <row r="163" spans="1:29" ht="27" customHeight="1" x14ac:dyDescent="0.25">
      <c r="A163" s="47" t="s">
        <v>497</v>
      </c>
      <c r="B163" s="43" t="s">
        <v>314</v>
      </c>
      <c r="C163" s="331"/>
      <c r="D163" s="47" t="s">
        <v>124</v>
      </c>
      <c r="E163" s="51">
        <v>1</v>
      </c>
      <c r="F163" s="51">
        <v>1</v>
      </c>
      <c r="G163" s="52">
        <v>1</v>
      </c>
      <c r="H163" s="52">
        <v>1</v>
      </c>
      <c r="I163" s="52">
        <v>1</v>
      </c>
      <c r="J163" s="48">
        <v>132713.06</v>
      </c>
      <c r="K163" s="48">
        <f>32326.86+18402.51*1+257654.9</f>
        <v>308384.27</v>
      </c>
      <c r="L163" s="49">
        <v>72362.48</v>
      </c>
      <c r="M163" s="48">
        <f t="shared" si="101"/>
        <v>513459.81</v>
      </c>
      <c r="N163" s="48">
        <f t="shared" si="165"/>
        <v>132713.06</v>
      </c>
      <c r="O163" s="48">
        <f>G163*K163</f>
        <v>308384.27</v>
      </c>
      <c r="P163" s="51"/>
      <c r="Q163" s="48">
        <f t="shared" si="166"/>
        <v>72362.48</v>
      </c>
      <c r="R163" s="48"/>
      <c r="S163" s="48"/>
      <c r="T163" s="48">
        <f t="shared" si="167"/>
        <v>513459.81</v>
      </c>
      <c r="U163" s="48">
        <f t="shared" si="168"/>
        <v>513459.81</v>
      </c>
      <c r="V163" s="48">
        <f t="shared" si="168"/>
        <v>513459.81</v>
      </c>
    </row>
    <row r="164" spans="1:29" ht="23.45" customHeight="1" x14ac:dyDescent="0.25">
      <c r="A164" s="47" t="s">
        <v>328</v>
      </c>
      <c r="B164" s="47" t="s">
        <v>123</v>
      </c>
      <c r="C164" s="332"/>
      <c r="D164" s="47" t="s">
        <v>124</v>
      </c>
      <c r="E164" s="51">
        <v>3</v>
      </c>
      <c r="F164" s="51">
        <v>3</v>
      </c>
      <c r="G164" s="51">
        <v>1</v>
      </c>
      <c r="H164" s="51">
        <v>1</v>
      </c>
      <c r="I164" s="51">
        <v>1</v>
      </c>
      <c r="J164" s="48">
        <v>132713.06</v>
      </c>
      <c r="K164" s="48">
        <f>32326.86+18402.51*1+257654.9</f>
        <v>308384.27</v>
      </c>
      <c r="L164" s="49">
        <v>72362.48</v>
      </c>
      <c r="M164" s="48">
        <f t="shared" si="101"/>
        <v>513459.81</v>
      </c>
      <c r="N164" s="48">
        <f>J164*G164</f>
        <v>132713.06</v>
      </c>
      <c r="O164" s="48">
        <f>G164*K164</f>
        <v>308384.27</v>
      </c>
      <c r="P164" s="51"/>
      <c r="Q164" s="48">
        <f t="shared" ref="Q164" si="174">G164*L164</f>
        <v>72362.48</v>
      </c>
      <c r="R164" s="48"/>
      <c r="S164" s="48"/>
      <c r="T164" s="48">
        <f t="shared" si="167"/>
        <v>513459.81</v>
      </c>
      <c r="U164" s="48">
        <f>T164</f>
        <v>513459.81</v>
      </c>
      <c r="V164" s="48">
        <f>U164</f>
        <v>513459.81</v>
      </c>
    </row>
    <row r="165" spans="1:29" ht="61.15" customHeight="1" x14ac:dyDescent="0.25">
      <c r="A165" s="43" t="s">
        <v>127</v>
      </c>
      <c r="B165" s="47" t="s">
        <v>128</v>
      </c>
      <c r="C165" s="47" t="s">
        <v>54</v>
      </c>
      <c r="D165" s="47" t="s">
        <v>124</v>
      </c>
      <c r="E165" s="52" t="e">
        <f>E161+#REF!+E160+E159+E164+E163+E157+E162</f>
        <v>#REF!</v>
      </c>
      <c r="F165" s="52" t="e">
        <f>F161+#REF!+F160+F159+F164+F163+F157+F162</f>
        <v>#REF!</v>
      </c>
      <c r="G165" s="52">
        <f>G161+G158+G160+G159+G164+G163+G157+G162</f>
        <v>123</v>
      </c>
      <c r="H165" s="52">
        <f t="shared" ref="H165:I165" si="175">H161+H158+H160+H159+H164+H163+H157+H162</f>
        <v>123</v>
      </c>
      <c r="I165" s="52">
        <f t="shared" si="175"/>
        <v>123</v>
      </c>
      <c r="J165" s="48">
        <v>0</v>
      </c>
      <c r="K165" s="48">
        <v>0</v>
      </c>
      <c r="L165" s="49">
        <f>61511.06</f>
        <v>61511.06</v>
      </c>
      <c r="M165" s="48">
        <f>J165+K165+L165</f>
        <v>61511.06</v>
      </c>
      <c r="N165" s="48">
        <f>G165*J165</f>
        <v>0</v>
      </c>
      <c r="O165" s="48">
        <f>G165*K165</f>
        <v>0</v>
      </c>
      <c r="P165" s="51">
        <f>P161+P162+P160+P159+P164+P163</f>
        <v>0</v>
      </c>
      <c r="Q165" s="49">
        <f>G165*L165</f>
        <v>7565860.3799999999</v>
      </c>
      <c r="R165" s="51" t="e">
        <f>R161+#REF!+R160+R159+R164+R163</f>
        <v>#REF!</v>
      </c>
      <c r="S165" s="51"/>
      <c r="T165" s="49">
        <f t="shared" si="167"/>
        <v>7565860.3799999999</v>
      </c>
      <c r="U165" s="48">
        <f>T165</f>
        <v>7565860.3799999999</v>
      </c>
      <c r="V165" s="48">
        <f>U165</f>
        <v>7565860.3799999999</v>
      </c>
    </row>
    <row r="166" spans="1:29" ht="31.9" customHeight="1" x14ac:dyDescent="0.25">
      <c r="A166" s="322" t="s">
        <v>595</v>
      </c>
      <c r="B166" s="47" t="s">
        <v>128</v>
      </c>
      <c r="C166" s="47" t="s">
        <v>129</v>
      </c>
      <c r="D166" s="47"/>
      <c r="E166" s="51"/>
      <c r="F166" s="51"/>
      <c r="G166" s="52">
        <f>G165</f>
        <v>123</v>
      </c>
      <c r="H166" s="52">
        <f t="shared" ref="H166:I166" si="176">H165</f>
        <v>123</v>
      </c>
      <c r="I166" s="52">
        <f t="shared" si="176"/>
        <v>123</v>
      </c>
      <c r="J166" s="48"/>
      <c r="K166" s="48"/>
      <c r="L166" s="49">
        <v>20437.68</v>
      </c>
      <c r="M166" s="48">
        <f t="shared" si="101"/>
        <v>20437.68</v>
      </c>
      <c r="N166" s="51"/>
      <c r="O166" s="48"/>
      <c r="P166" s="51"/>
      <c r="Q166" s="48"/>
      <c r="R166" s="48"/>
      <c r="S166" s="49">
        <f>G166*L166</f>
        <v>2513834.64</v>
      </c>
      <c r="T166" s="49">
        <f>S166</f>
        <v>2513834.64</v>
      </c>
      <c r="U166" s="48">
        <f>S166</f>
        <v>2513834.64</v>
      </c>
      <c r="V166" s="48">
        <f>S166</f>
        <v>2513834.64</v>
      </c>
    </row>
    <row r="167" spans="1:29" ht="31.9" customHeight="1" x14ac:dyDescent="0.25">
      <c r="A167" s="246" t="s">
        <v>617</v>
      </c>
      <c r="B167" s="229" t="s">
        <v>495</v>
      </c>
      <c r="C167" s="47"/>
      <c r="D167" s="37" t="s">
        <v>24</v>
      </c>
      <c r="E167" s="51"/>
      <c r="F167" s="51">
        <v>30</v>
      </c>
      <c r="G167" s="52">
        <v>30</v>
      </c>
      <c r="H167" s="51">
        <v>0</v>
      </c>
      <c r="I167" s="51">
        <v>0</v>
      </c>
      <c r="J167" s="48">
        <v>0</v>
      </c>
      <c r="K167" s="48"/>
      <c r="L167" s="49"/>
      <c r="M167" s="48">
        <f>J167+K167+L167</f>
        <v>0</v>
      </c>
      <c r="N167" s="48">
        <f>G167*J167</f>
        <v>0</v>
      </c>
      <c r="O167" s="48"/>
      <c r="P167" s="51"/>
      <c r="Q167" s="48"/>
      <c r="R167" s="48"/>
      <c r="S167" s="48"/>
      <c r="T167" s="48">
        <f>SUM(N167:Q167)</f>
        <v>0</v>
      </c>
      <c r="U167" s="48"/>
      <c r="V167" s="48"/>
    </row>
    <row r="168" spans="1:29" ht="31.9" customHeight="1" x14ac:dyDescent="0.25">
      <c r="A168" s="249"/>
      <c r="B168" s="230"/>
      <c r="C168" s="47" t="s">
        <v>607</v>
      </c>
      <c r="D168" s="298" t="s">
        <v>225</v>
      </c>
      <c r="E168" s="51">
        <v>0</v>
      </c>
      <c r="F168" s="51">
        <f>64*F167</f>
        <v>1920</v>
      </c>
      <c r="G168" s="52">
        <f>10*2*G167</f>
        <v>600</v>
      </c>
      <c r="H168" s="51">
        <v>0</v>
      </c>
      <c r="I168" s="51">
        <v>0</v>
      </c>
      <c r="J168" s="49">
        <v>341.19</v>
      </c>
      <c r="K168" s="48"/>
      <c r="L168" s="49"/>
      <c r="M168" s="48">
        <f>J168+K168+L168</f>
        <v>341.19</v>
      </c>
      <c r="N168" s="49">
        <f>G168*J168-263.85</f>
        <v>204450.15</v>
      </c>
      <c r="O168" s="48"/>
      <c r="P168" s="51"/>
      <c r="Q168" s="48"/>
      <c r="R168" s="48"/>
      <c r="S168" s="48"/>
      <c r="T168" s="49">
        <f>SUM(N168:Q168)</f>
        <v>204450.15</v>
      </c>
      <c r="U168" s="48">
        <f>H168*J168</f>
        <v>0</v>
      </c>
      <c r="V168" s="48">
        <f>I168*J168</f>
        <v>0</v>
      </c>
    </row>
    <row r="169" spans="1:29" ht="18.600000000000001" customHeight="1" x14ac:dyDescent="0.25">
      <c r="A169" s="207"/>
      <c r="B169" s="217"/>
      <c r="C169" s="162" t="s">
        <v>38</v>
      </c>
      <c r="D169" s="47"/>
      <c r="E169" s="51"/>
      <c r="F169" s="51">
        <v>30</v>
      </c>
      <c r="G169" s="52">
        <f>G167</f>
        <v>30</v>
      </c>
      <c r="H169" s="51">
        <f>H167</f>
        <v>0</v>
      </c>
      <c r="I169" s="51">
        <f>I167</f>
        <v>0</v>
      </c>
      <c r="J169" s="48" t="s">
        <v>26</v>
      </c>
      <c r="K169" s="48" t="s">
        <v>26</v>
      </c>
      <c r="L169" s="49" t="s">
        <v>26</v>
      </c>
      <c r="M169" s="48"/>
      <c r="N169" s="48"/>
      <c r="O169" s="48"/>
      <c r="P169" s="51"/>
      <c r="Q169" s="48"/>
      <c r="R169" s="48"/>
      <c r="S169" s="48"/>
      <c r="T169" s="49"/>
      <c r="U169" s="48"/>
      <c r="V169" s="48"/>
    </row>
    <row r="170" spans="1:29" ht="22.15" customHeight="1" x14ac:dyDescent="0.25">
      <c r="A170" s="246" t="s">
        <v>617</v>
      </c>
      <c r="B170" s="229" t="s">
        <v>495</v>
      </c>
      <c r="C170" s="47"/>
      <c r="D170" s="37" t="s">
        <v>24</v>
      </c>
      <c r="E170" s="51"/>
      <c r="F170" s="51">
        <v>30</v>
      </c>
      <c r="G170" s="51">
        <v>12</v>
      </c>
      <c r="H170" s="51">
        <v>12</v>
      </c>
      <c r="I170" s="51">
        <v>0</v>
      </c>
      <c r="J170" s="48">
        <v>0</v>
      </c>
      <c r="K170" s="48"/>
      <c r="L170" s="49"/>
      <c r="M170" s="48">
        <f>J170+K170+L170</f>
        <v>0</v>
      </c>
      <c r="N170" s="48">
        <f>G170*J170</f>
        <v>0</v>
      </c>
      <c r="O170" s="48"/>
      <c r="P170" s="51"/>
      <c r="Q170" s="48"/>
      <c r="R170" s="48"/>
      <c r="S170" s="48"/>
      <c r="T170" s="48">
        <f>SUM(N170:Q170)</f>
        <v>0</v>
      </c>
      <c r="U170" s="48"/>
      <c r="V170" s="48"/>
    </row>
    <row r="171" spans="1:29" ht="34.15" customHeight="1" x14ac:dyDescent="0.25">
      <c r="A171" s="249"/>
      <c r="B171" s="230"/>
      <c r="C171" s="43" t="s">
        <v>610</v>
      </c>
      <c r="D171" s="298" t="s">
        <v>225</v>
      </c>
      <c r="E171" s="51">
        <v>0</v>
      </c>
      <c r="F171" s="51">
        <f>64*F170</f>
        <v>1920</v>
      </c>
      <c r="G171" s="52">
        <f>16*2*G170</f>
        <v>384</v>
      </c>
      <c r="H171" s="52">
        <f>20*2*H170</f>
        <v>480</v>
      </c>
      <c r="I171" s="51">
        <v>0</v>
      </c>
      <c r="J171" s="49">
        <v>341.19</v>
      </c>
      <c r="K171" s="48"/>
      <c r="L171" s="49"/>
      <c r="M171" s="48">
        <f>J171+K171+L171</f>
        <v>341.19</v>
      </c>
      <c r="N171" s="49">
        <f>G171*J171+629.24</f>
        <v>131646.19999999998</v>
      </c>
      <c r="O171" s="48"/>
      <c r="P171" s="51"/>
      <c r="Q171" s="48"/>
      <c r="R171" s="48"/>
      <c r="S171" s="48"/>
      <c r="T171" s="49">
        <f>SUM(N171:Q171)</f>
        <v>131646.19999999998</v>
      </c>
      <c r="U171" s="49">
        <f>H171*J171+409.58</f>
        <v>164180.78</v>
      </c>
      <c r="V171" s="48">
        <f>I171*J171</f>
        <v>0</v>
      </c>
    </row>
    <row r="172" spans="1:29" ht="17.45" customHeight="1" x14ac:dyDescent="0.25">
      <c r="A172" s="207"/>
      <c r="B172" s="217"/>
      <c r="C172" s="162" t="s">
        <v>38</v>
      </c>
      <c r="D172" s="47"/>
      <c r="E172" s="51"/>
      <c r="F172" s="51">
        <v>30</v>
      </c>
      <c r="G172" s="52">
        <f>G170</f>
        <v>12</v>
      </c>
      <c r="H172" s="52">
        <f>H170</f>
        <v>12</v>
      </c>
      <c r="I172" s="51">
        <f>I170</f>
        <v>0</v>
      </c>
      <c r="J172" s="48" t="s">
        <v>26</v>
      </c>
      <c r="K172" s="48" t="s">
        <v>26</v>
      </c>
      <c r="L172" s="49" t="s">
        <v>26</v>
      </c>
      <c r="M172" s="48"/>
      <c r="N172" s="48"/>
      <c r="O172" s="48"/>
      <c r="P172" s="51"/>
      <c r="Q172" s="48"/>
      <c r="R172" s="48"/>
      <c r="S172" s="48"/>
      <c r="T172" s="49"/>
      <c r="U172" s="48"/>
      <c r="V172" s="48"/>
    </row>
    <row r="173" spans="1:29" s="54" customFormat="1" ht="24" customHeight="1" x14ac:dyDescent="0.2">
      <c r="A173" s="46" t="s">
        <v>144</v>
      </c>
      <c r="B173" s="46"/>
      <c r="C173" s="46"/>
      <c r="D173" s="46"/>
      <c r="E173" s="52"/>
      <c r="F173" s="52"/>
      <c r="G173" s="52"/>
      <c r="H173" s="52"/>
      <c r="I173" s="52"/>
      <c r="J173" s="49"/>
      <c r="K173" s="48"/>
      <c r="L173" s="49"/>
      <c r="M173" s="48">
        <f t="shared" si="101"/>
        <v>0</v>
      </c>
      <c r="N173" s="49">
        <f>N174+N188+N191+N194</f>
        <v>30338323.34</v>
      </c>
      <c r="O173" s="49">
        <f>O174</f>
        <v>11749862.410000002</v>
      </c>
      <c r="P173" s="49"/>
      <c r="Q173" s="49">
        <f>Q174+Q185</f>
        <v>24364984.280000001</v>
      </c>
      <c r="R173" s="49"/>
      <c r="S173" s="49">
        <f>S186</f>
        <v>3719657.7600000002</v>
      </c>
      <c r="T173" s="49">
        <f>T174+T185+T186+T188+T191+T194</f>
        <v>70172827.789999992</v>
      </c>
      <c r="U173" s="49">
        <f>U174+U185+U186+U188+U191+U194</f>
        <v>70027624.179999992</v>
      </c>
      <c r="V173" s="49">
        <f>V174+V185+V186+V188</f>
        <v>69701932.040000007</v>
      </c>
      <c r="W173" s="54">
        <v>12135022</v>
      </c>
      <c r="X173" s="55">
        <f>W173-Q173</f>
        <v>-12229962.280000001</v>
      </c>
      <c r="Y173" s="54">
        <f>X173/G185</f>
        <v>-67197.594945054952</v>
      </c>
      <c r="AA173" s="54">
        <v>12524345</v>
      </c>
      <c r="AB173" s="55">
        <f>AA173-Q173</f>
        <v>-11840639.280000001</v>
      </c>
      <c r="AC173" s="54">
        <f>AB173/I185</f>
        <v>-65058.457582417592</v>
      </c>
    </row>
    <row r="174" spans="1:29" ht="72.599999999999994" customHeight="1" x14ac:dyDescent="0.25">
      <c r="A174" s="43" t="s">
        <v>121</v>
      </c>
      <c r="B174" s="41" t="s">
        <v>122</v>
      </c>
      <c r="C174" s="41"/>
      <c r="D174" s="47"/>
      <c r="E174" s="51"/>
      <c r="F174" s="51"/>
      <c r="G174" s="51"/>
      <c r="H174" s="51"/>
      <c r="I174" s="51"/>
      <c r="J174" s="48"/>
      <c r="K174" s="48"/>
      <c r="L174" s="48"/>
      <c r="M174" s="48"/>
      <c r="N174" s="48">
        <f>SUM(N175:N184)</f>
        <v>29867427.589999996</v>
      </c>
      <c r="O174" s="48">
        <f t="shared" ref="O174:V174" si="177">SUM(O175:O184)</f>
        <v>11749862.410000002</v>
      </c>
      <c r="P174" s="48">
        <f t="shared" si="177"/>
        <v>0</v>
      </c>
      <c r="Q174" s="49">
        <f t="shared" si="177"/>
        <v>13169971.359999999</v>
      </c>
      <c r="R174" s="48">
        <f t="shared" si="177"/>
        <v>0</v>
      </c>
      <c r="S174" s="48"/>
      <c r="T174" s="49">
        <f t="shared" si="177"/>
        <v>54787261.359999999</v>
      </c>
      <c r="U174" s="48">
        <f t="shared" si="177"/>
        <v>54787261.359999999</v>
      </c>
      <c r="V174" s="48">
        <f t="shared" si="177"/>
        <v>54787261.359999999</v>
      </c>
      <c r="W174" s="44">
        <v>33911273</v>
      </c>
      <c r="AA174" s="44">
        <f>33911273+U186</f>
        <v>37630930.759999998</v>
      </c>
      <c r="AB174" s="44">
        <f>U173-AA174</f>
        <v>32396693.419999994</v>
      </c>
    </row>
    <row r="175" spans="1:29" ht="100.15" customHeight="1" x14ac:dyDescent="0.25">
      <c r="A175" s="43"/>
      <c r="B175" s="47" t="s">
        <v>123</v>
      </c>
      <c r="C175" s="43" t="s">
        <v>452</v>
      </c>
      <c r="D175" s="47" t="s">
        <v>124</v>
      </c>
      <c r="E175" s="51">
        <v>39</v>
      </c>
      <c r="F175" s="51">
        <v>23</v>
      </c>
      <c r="G175" s="51">
        <v>14</v>
      </c>
      <c r="H175" s="51">
        <v>14</v>
      </c>
      <c r="I175" s="51">
        <v>14</v>
      </c>
      <c r="J175" s="48">
        <v>86493.99</v>
      </c>
      <c r="K175" s="48">
        <f>43062.49+16903.56</f>
        <v>59966.05</v>
      </c>
      <c r="L175" s="49">
        <v>72362.48</v>
      </c>
      <c r="M175" s="48">
        <f t="shared" si="101"/>
        <v>218822.52000000002</v>
      </c>
      <c r="N175" s="48">
        <f>G175*J175</f>
        <v>1210915.8600000001</v>
      </c>
      <c r="O175" s="48">
        <f>G175*K175</f>
        <v>839524.70000000007</v>
      </c>
      <c r="P175" s="51"/>
      <c r="Q175" s="48">
        <f>G175*L175</f>
        <v>1013074.72</v>
      </c>
      <c r="R175" s="48"/>
      <c r="S175" s="48"/>
      <c r="T175" s="48">
        <f t="shared" ref="T175:T185" si="178">SUM(N175:Q175)</f>
        <v>3063515.2800000003</v>
      </c>
      <c r="U175" s="48">
        <f>T175</f>
        <v>3063515.2800000003</v>
      </c>
      <c r="V175" s="48">
        <f t="shared" ref="V175:V184" si="179">U175</f>
        <v>3063515.2800000003</v>
      </c>
      <c r="X175" s="44">
        <f>W174-U173</f>
        <v>-36116351.179999992</v>
      </c>
    </row>
    <row r="176" spans="1:29" ht="124.9" customHeight="1" x14ac:dyDescent="0.25">
      <c r="A176" s="43"/>
      <c r="B176" s="47" t="s">
        <v>123</v>
      </c>
      <c r="C176" s="246" t="s">
        <v>290</v>
      </c>
      <c r="D176" s="47" t="s">
        <v>124</v>
      </c>
      <c r="E176" s="51">
        <v>12</v>
      </c>
      <c r="F176" s="51">
        <v>12</v>
      </c>
      <c r="G176" s="51">
        <v>33</v>
      </c>
      <c r="H176" s="51">
        <v>33</v>
      </c>
      <c r="I176" s="51">
        <v>33</v>
      </c>
      <c r="J176" s="48">
        <v>175329.95</v>
      </c>
      <c r="K176" s="48">
        <f>43062.49+16903.56*1.5</f>
        <v>68417.83</v>
      </c>
      <c r="L176" s="49">
        <v>72362.48</v>
      </c>
      <c r="M176" s="48">
        <f t="shared" si="101"/>
        <v>316110.26</v>
      </c>
      <c r="N176" s="48">
        <f>G176*J176</f>
        <v>5785888.3500000006</v>
      </c>
      <c r="O176" s="48">
        <f>G176*K176</f>
        <v>2257788.39</v>
      </c>
      <c r="P176" s="51"/>
      <c r="Q176" s="48">
        <f>G176*L176</f>
        <v>2387961.84</v>
      </c>
      <c r="R176" s="48"/>
      <c r="S176" s="48"/>
      <c r="T176" s="48">
        <f t="shared" si="178"/>
        <v>10431638.58</v>
      </c>
      <c r="U176" s="48">
        <f>T176</f>
        <v>10431638.58</v>
      </c>
      <c r="V176" s="48">
        <f t="shared" si="179"/>
        <v>10431638.58</v>
      </c>
      <c r="X176" s="44"/>
    </row>
    <row r="177" spans="1:24" ht="66.599999999999994" customHeight="1" x14ac:dyDescent="0.25">
      <c r="A177" s="43"/>
      <c r="B177" s="47" t="s">
        <v>318</v>
      </c>
      <c r="C177" s="250"/>
      <c r="D177" s="47" t="s">
        <v>124</v>
      </c>
      <c r="E177" s="51">
        <v>5</v>
      </c>
      <c r="F177" s="51">
        <v>8</v>
      </c>
      <c r="G177" s="51">
        <v>1</v>
      </c>
      <c r="H177" s="51">
        <f>5+2</f>
        <v>7</v>
      </c>
      <c r="I177" s="51">
        <f>5+2</f>
        <v>7</v>
      </c>
      <c r="J177" s="48">
        <v>175329.95</v>
      </c>
      <c r="K177" s="48">
        <f>43062.49+16903.56*1.5</f>
        <v>68417.83</v>
      </c>
      <c r="L177" s="49">
        <v>72362.48</v>
      </c>
      <c r="M177" s="48">
        <f t="shared" ref="M177" si="180">J177+K177+L177</f>
        <v>316110.26</v>
      </c>
      <c r="N177" s="48">
        <f t="shared" ref="N177" si="181">G177*J177</f>
        <v>175329.95</v>
      </c>
      <c r="O177" s="48">
        <f>G177*K177+6933.06+260960.38</f>
        <v>336311.27</v>
      </c>
      <c r="P177" s="51"/>
      <c r="Q177" s="48">
        <f t="shared" ref="Q177" si="182">G177*L177</f>
        <v>72362.48</v>
      </c>
      <c r="R177" s="48"/>
      <c r="S177" s="48"/>
      <c r="T177" s="48">
        <f t="shared" ref="T177" si="183">SUM(N177:Q177)</f>
        <v>584003.70000000007</v>
      </c>
      <c r="U177" s="48">
        <f t="shared" ref="U177" si="184">T177</f>
        <v>584003.70000000007</v>
      </c>
      <c r="V177" s="48">
        <f t="shared" ref="V177" si="185">U177</f>
        <v>584003.70000000007</v>
      </c>
      <c r="X177" s="44"/>
    </row>
    <row r="178" spans="1:24" ht="46.15" customHeight="1" x14ac:dyDescent="0.25">
      <c r="A178" s="43"/>
      <c r="B178" s="47" t="s">
        <v>318</v>
      </c>
      <c r="C178" s="250"/>
      <c r="D178" s="47" t="s">
        <v>124</v>
      </c>
      <c r="E178" s="51">
        <v>29</v>
      </c>
      <c r="F178" s="51">
        <v>29</v>
      </c>
      <c r="G178" s="51">
        <v>22</v>
      </c>
      <c r="H178" s="51">
        <v>16</v>
      </c>
      <c r="I178" s="51">
        <v>16</v>
      </c>
      <c r="J178" s="48">
        <v>132713.06</v>
      </c>
      <c r="K178" s="48">
        <f>32326.86+16903.56</f>
        <v>49230.42</v>
      </c>
      <c r="L178" s="49">
        <v>72362.48</v>
      </c>
      <c r="M178" s="48">
        <f t="shared" si="101"/>
        <v>254305.95999999996</v>
      </c>
      <c r="N178" s="48">
        <f>G178*J178</f>
        <v>2919687.32</v>
      </c>
      <c r="O178" s="48">
        <f>G178*K178+6933.06+260960.38-6414.46-36796.16+8841.73</f>
        <v>1316593.7900000003</v>
      </c>
      <c r="P178" s="51"/>
      <c r="Q178" s="48">
        <f t="shared" ref="Q178" si="186">G178*L178</f>
        <v>1591974.5599999998</v>
      </c>
      <c r="R178" s="48"/>
      <c r="S178" s="48"/>
      <c r="T178" s="48">
        <f t="shared" si="178"/>
        <v>5828255.6699999999</v>
      </c>
      <c r="U178" s="48">
        <f t="shared" ref="U178:U186" si="187">T178</f>
        <v>5828255.6699999999</v>
      </c>
      <c r="V178" s="48">
        <f t="shared" si="179"/>
        <v>5828255.6699999999</v>
      </c>
    </row>
    <row r="179" spans="1:24" ht="24.6" customHeight="1" x14ac:dyDescent="0.25">
      <c r="A179" s="43" t="s">
        <v>498</v>
      </c>
      <c r="B179" s="47" t="s">
        <v>316</v>
      </c>
      <c r="C179" s="250"/>
      <c r="D179" s="47"/>
      <c r="E179" s="51">
        <v>1</v>
      </c>
      <c r="F179" s="51">
        <v>1</v>
      </c>
      <c r="G179" s="52">
        <v>1</v>
      </c>
      <c r="H179" s="52">
        <v>1</v>
      </c>
      <c r="I179" s="52">
        <v>1</v>
      </c>
      <c r="J179" s="48">
        <v>175329.95</v>
      </c>
      <c r="K179" s="48">
        <f>43062.49+16903.56*1.5</f>
        <v>68417.83</v>
      </c>
      <c r="L179" s="49">
        <v>72362.48</v>
      </c>
      <c r="M179" s="48">
        <f t="shared" si="101"/>
        <v>316110.26</v>
      </c>
      <c r="N179" s="48">
        <f>G179*J179</f>
        <v>175329.95</v>
      </c>
      <c r="O179" s="48">
        <f>G179*K179</f>
        <v>68417.83</v>
      </c>
      <c r="P179" s="51"/>
      <c r="Q179" s="48">
        <f>G179*L179</f>
        <v>72362.48</v>
      </c>
      <c r="R179" s="48"/>
      <c r="S179" s="48"/>
      <c r="T179" s="48">
        <f t="shared" si="178"/>
        <v>316110.26</v>
      </c>
      <c r="U179" s="48">
        <f>T179</f>
        <v>316110.26</v>
      </c>
      <c r="V179" s="48">
        <f>U179</f>
        <v>316110.26</v>
      </c>
    </row>
    <row r="180" spans="1:24" ht="27" customHeight="1" x14ac:dyDescent="0.25">
      <c r="A180" s="47"/>
      <c r="B180" s="47" t="s">
        <v>316</v>
      </c>
      <c r="C180" s="249"/>
      <c r="D180" s="47" t="s">
        <v>124</v>
      </c>
      <c r="E180" s="51">
        <v>77</v>
      </c>
      <c r="F180" s="51">
        <v>60</v>
      </c>
      <c r="G180" s="51">
        <v>68</v>
      </c>
      <c r="H180" s="51">
        <v>68</v>
      </c>
      <c r="I180" s="51">
        <v>68</v>
      </c>
      <c r="J180" s="48">
        <v>132713.06</v>
      </c>
      <c r="K180" s="48">
        <f t="shared" ref="K180" si="188">32326.86+16903.56</f>
        <v>49230.42</v>
      </c>
      <c r="L180" s="49">
        <v>72362.48</v>
      </c>
      <c r="M180" s="48">
        <f t="shared" si="101"/>
        <v>254305.95999999996</v>
      </c>
      <c r="N180" s="48">
        <f>G180*J180</f>
        <v>9024488.0800000001</v>
      </c>
      <c r="O180" s="48">
        <f>G180*K180</f>
        <v>3347668.56</v>
      </c>
      <c r="P180" s="51"/>
      <c r="Q180" s="48">
        <f>G180*L180</f>
        <v>4920648.6399999997</v>
      </c>
      <c r="R180" s="48"/>
      <c r="S180" s="48"/>
      <c r="T180" s="48">
        <f t="shared" si="178"/>
        <v>17292805.280000001</v>
      </c>
      <c r="U180" s="48">
        <f t="shared" si="187"/>
        <v>17292805.280000001</v>
      </c>
      <c r="V180" s="48">
        <f t="shared" si="179"/>
        <v>17292805.280000001</v>
      </c>
    </row>
    <row r="181" spans="1:24" ht="21" hidden="1" customHeight="1" x14ac:dyDescent="0.25">
      <c r="A181" s="47"/>
      <c r="B181" s="46" t="s">
        <v>132</v>
      </c>
      <c r="C181" s="47" t="s">
        <v>54</v>
      </c>
      <c r="D181" s="47" t="s">
        <v>124</v>
      </c>
      <c r="E181" s="51">
        <v>0</v>
      </c>
      <c r="F181" s="51">
        <v>0</v>
      </c>
      <c r="G181" s="51">
        <f t="shared" ref="G181:G183" si="189">((E181*8)+(F181*4))/12</f>
        <v>0</v>
      </c>
      <c r="H181" s="51">
        <v>0</v>
      </c>
      <c r="I181" s="51">
        <v>0</v>
      </c>
      <c r="J181" s="48">
        <v>95706.64</v>
      </c>
      <c r="K181" s="48">
        <f t="shared" ref="K181:K183" si="190">25496.5+13866.12</f>
        <v>39362.620000000003</v>
      </c>
      <c r="L181" s="49">
        <v>72362.48</v>
      </c>
      <c r="M181" s="48">
        <f t="shared" si="101"/>
        <v>207431.74</v>
      </c>
      <c r="N181" s="48">
        <f t="shared" ref="N181:N184" si="191">G181*J181</f>
        <v>0</v>
      </c>
      <c r="O181" s="48">
        <f t="shared" ref="O181:O183" si="192">G181*K181</f>
        <v>0</v>
      </c>
      <c r="P181" s="51"/>
      <c r="Q181" s="48">
        <f t="shared" ref="Q181:Q184" si="193">G181*L181</f>
        <v>0</v>
      </c>
      <c r="R181" s="48"/>
      <c r="S181" s="48"/>
      <c r="T181" s="48">
        <f t="shared" ref="T181:T184" si="194">SUM(N181:Q181)</f>
        <v>0</v>
      </c>
      <c r="U181" s="48">
        <f t="shared" si="187"/>
        <v>0</v>
      </c>
      <c r="V181" s="48">
        <f t="shared" si="179"/>
        <v>0</v>
      </c>
    </row>
    <row r="182" spans="1:24" ht="39" hidden="1" customHeight="1" x14ac:dyDescent="0.25">
      <c r="A182" s="47"/>
      <c r="B182" s="41" t="s">
        <v>133</v>
      </c>
      <c r="C182" s="47" t="s">
        <v>44</v>
      </c>
      <c r="D182" s="47" t="s">
        <v>124</v>
      </c>
      <c r="E182" s="51">
        <v>0</v>
      </c>
      <c r="F182" s="51">
        <v>0</v>
      </c>
      <c r="G182" s="51">
        <f t="shared" si="189"/>
        <v>0</v>
      </c>
      <c r="H182" s="51">
        <v>0</v>
      </c>
      <c r="I182" s="51">
        <v>0</v>
      </c>
      <c r="J182" s="48">
        <v>95707.64</v>
      </c>
      <c r="K182" s="48">
        <f t="shared" si="190"/>
        <v>39362.620000000003</v>
      </c>
      <c r="L182" s="49">
        <v>72362.48</v>
      </c>
      <c r="M182" s="48">
        <f t="shared" si="101"/>
        <v>207432.74</v>
      </c>
      <c r="N182" s="48">
        <f t="shared" si="191"/>
        <v>0</v>
      </c>
      <c r="O182" s="48">
        <f t="shared" si="192"/>
        <v>0</v>
      </c>
      <c r="P182" s="51"/>
      <c r="Q182" s="48">
        <f t="shared" si="193"/>
        <v>0</v>
      </c>
      <c r="R182" s="48"/>
      <c r="S182" s="48"/>
      <c r="T182" s="48">
        <f t="shared" si="194"/>
        <v>0</v>
      </c>
      <c r="U182" s="48">
        <f t="shared" si="187"/>
        <v>0</v>
      </c>
      <c r="V182" s="48">
        <f t="shared" si="179"/>
        <v>0</v>
      </c>
    </row>
    <row r="183" spans="1:24" ht="24.6" hidden="1" customHeight="1" x14ac:dyDescent="0.25">
      <c r="A183" s="47"/>
      <c r="B183" s="41" t="s">
        <v>134</v>
      </c>
      <c r="C183" s="47"/>
      <c r="D183" s="47" t="s">
        <v>124</v>
      </c>
      <c r="E183" s="51">
        <v>0</v>
      </c>
      <c r="F183" s="51">
        <v>0</v>
      </c>
      <c r="G183" s="51">
        <f t="shared" si="189"/>
        <v>0</v>
      </c>
      <c r="H183" s="51">
        <v>0</v>
      </c>
      <c r="I183" s="51">
        <v>0</v>
      </c>
      <c r="J183" s="48">
        <v>95708.64</v>
      </c>
      <c r="K183" s="48">
        <f t="shared" si="190"/>
        <v>39362.620000000003</v>
      </c>
      <c r="L183" s="49">
        <v>72362.48</v>
      </c>
      <c r="M183" s="48">
        <f t="shared" si="101"/>
        <v>207433.74</v>
      </c>
      <c r="N183" s="48">
        <f t="shared" si="191"/>
        <v>0</v>
      </c>
      <c r="O183" s="48">
        <f t="shared" si="192"/>
        <v>0</v>
      </c>
      <c r="P183" s="51"/>
      <c r="Q183" s="48">
        <f t="shared" si="193"/>
        <v>0</v>
      </c>
      <c r="R183" s="48"/>
      <c r="S183" s="48"/>
      <c r="T183" s="48">
        <f t="shared" si="194"/>
        <v>0</v>
      </c>
      <c r="U183" s="48">
        <f t="shared" si="187"/>
        <v>0</v>
      </c>
      <c r="V183" s="48">
        <f t="shared" si="179"/>
        <v>0</v>
      </c>
    </row>
    <row r="184" spans="1:24" ht="110.45" customHeight="1" x14ac:dyDescent="0.25">
      <c r="A184" s="47"/>
      <c r="B184" s="47" t="s">
        <v>318</v>
      </c>
      <c r="C184" s="43" t="s">
        <v>575</v>
      </c>
      <c r="D184" s="47" t="s">
        <v>124</v>
      </c>
      <c r="E184" s="51">
        <v>20</v>
      </c>
      <c r="F184" s="51">
        <v>43</v>
      </c>
      <c r="G184" s="51">
        <v>43</v>
      </c>
      <c r="H184" s="51">
        <v>43</v>
      </c>
      <c r="I184" s="51">
        <v>43</v>
      </c>
      <c r="J184" s="48">
        <v>245948.56</v>
      </c>
      <c r="K184" s="48">
        <f>70240.51+15095.54*2</f>
        <v>100431.59</v>
      </c>
      <c r="L184" s="49">
        <v>72362.48</v>
      </c>
      <c r="M184" s="48">
        <f t="shared" si="101"/>
        <v>418742.63</v>
      </c>
      <c r="N184" s="48">
        <f t="shared" si="191"/>
        <v>10575788.08</v>
      </c>
      <c r="O184" s="48">
        <f>G184*K184-531349.72-203650.34-0.44</f>
        <v>3583557.8700000006</v>
      </c>
      <c r="P184" s="51"/>
      <c r="Q184" s="48">
        <f t="shared" si="193"/>
        <v>3111586.6399999997</v>
      </c>
      <c r="R184" s="48"/>
      <c r="S184" s="48"/>
      <c r="T184" s="48">
        <f t="shared" si="194"/>
        <v>17270932.59</v>
      </c>
      <c r="U184" s="48">
        <f t="shared" si="187"/>
        <v>17270932.59</v>
      </c>
      <c r="V184" s="48">
        <f t="shared" si="179"/>
        <v>17270932.59</v>
      </c>
    </row>
    <row r="185" spans="1:24" ht="62.45" customHeight="1" x14ac:dyDescent="0.25">
      <c r="A185" s="43" t="s">
        <v>127</v>
      </c>
      <c r="B185" s="47" t="s">
        <v>128</v>
      </c>
      <c r="C185" s="47" t="s">
        <v>54</v>
      </c>
      <c r="D185" s="47" t="s">
        <v>124</v>
      </c>
      <c r="E185" s="51">
        <f>E175+E178+E180+E176+E184+E179+E177</f>
        <v>183</v>
      </c>
      <c r="F185" s="52">
        <f>F175+F178+F180+F176+F184+F179+F177</f>
        <v>176</v>
      </c>
      <c r="G185" s="52">
        <f>G175+G178+G180+G176+G184+G179+G177</f>
        <v>182</v>
      </c>
      <c r="H185" s="52">
        <f t="shared" ref="H185:I185" si="195">H175+H178+H180+H176+H184+H179+H177</f>
        <v>182</v>
      </c>
      <c r="I185" s="52">
        <f t="shared" si="195"/>
        <v>182</v>
      </c>
      <c r="J185" s="48">
        <v>0</v>
      </c>
      <c r="K185" s="48">
        <v>0</v>
      </c>
      <c r="L185" s="49">
        <f>61511.06</f>
        <v>61511.06</v>
      </c>
      <c r="M185" s="48">
        <f t="shared" si="101"/>
        <v>61511.06</v>
      </c>
      <c r="N185" s="48">
        <f>G185*J185</f>
        <v>0</v>
      </c>
      <c r="O185" s="48">
        <f>G185*K185</f>
        <v>0</v>
      </c>
      <c r="P185" s="51"/>
      <c r="Q185" s="49">
        <f>G185*L185</f>
        <v>11195012.92</v>
      </c>
      <c r="R185" s="49"/>
      <c r="S185" s="49"/>
      <c r="T185" s="49">
        <f t="shared" si="178"/>
        <v>11195012.92</v>
      </c>
      <c r="U185" s="48">
        <f t="shared" si="187"/>
        <v>11195012.92</v>
      </c>
      <c r="V185" s="48">
        <f>U185</f>
        <v>11195012.92</v>
      </c>
    </row>
    <row r="186" spans="1:24" ht="27.6" customHeight="1" x14ac:dyDescent="0.25">
      <c r="A186" s="47" t="s">
        <v>642</v>
      </c>
      <c r="B186" s="47" t="s">
        <v>128</v>
      </c>
      <c r="C186" s="47" t="s">
        <v>129</v>
      </c>
      <c r="D186" s="47"/>
      <c r="E186" s="51"/>
      <c r="F186" s="51"/>
      <c r="G186" s="52">
        <f>G185</f>
        <v>182</v>
      </c>
      <c r="H186" s="52">
        <f>H185</f>
        <v>182</v>
      </c>
      <c r="I186" s="52">
        <f>I185</f>
        <v>182</v>
      </c>
      <c r="J186" s="48"/>
      <c r="K186" s="48"/>
      <c r="L186" s="49">
        <v>20437.68</v>
      </c>
      <c r="M186" s="48">
        <f t="shared" si="101"/>
        <v>20437.68</v>
      </c>
      <c r="N186" s="51"/>
      <c r="O186" s="48"/>
      <c r="P186" s="51"/>
      <c r="Q186" s="49"/>
      <c r="R186" s="49"/>
      <c r="S186" s="49">
        <f>G186*L186</f>
        <v>3719657.7600000002</v>
      </c>
      <c r="T186" s="49">
        <f>S186</f>
        <v>3719657.7600000002</v>
      </c>
      <c r="U186" s="48">
        <f t="shared" si="187"/>
        <v>3719657.7600000002</v>
      </c>
      <c r="V186" s="48">
        <f>U186</f>
        <v>3719657.7600000002</v>
      </c>
    </row>
    <row r="187" spans="1:24" ht="40.15" customHeight="1" x14ac:dyDescent="0.25">
      <c r="A187" s="246" t="s">
        <v>617</v>
      </c>
      <c r="B187" s="229" t="s">
        <v>608</v>
      </c>
      <c r="C187" s="47"/>
      <c r="D187" s="37" t="s">
        <v>24</v>
      </c>
      <c r="E187" s="51"/>
      <c r="F187" s="51">
        <v>20</v>
      </c>
      <c r="G187" s="51">
        <v>20</v>
      </c>
      <c r="H187" s="51">
        <v>0</v>
      </c>
      <c r="I187" s="51">
        <v>0</v>
      </c>
      <c r="J187" s="48">
        <v>0</v>
      </c>
      <c r="K187" s="48"/>
      <c r="L187" s="49"/>
      <c r="M187" s="48">
        <f>J187+K187+L187</f>
        <v>0</v>
      </c>
      <c r="N187" s="48">
        <v>0</v>
      </c>
      <c r="O187" s="48"/>
      <c r="P187" s="51"/>
      <c r="Q187" s="48"/>
      <c r="R187" s="48"/>
      <c r="S187" s="48"/>
      <c r="T187" s="48">
        <f>SUM(N187:Q187)</f>
        <v>0</v>
      </c>
      <c r="U187" s="48"/>
      <c r="V187" s="48"/>
    </row>
    <row r="188" spans="1:24" ht="47.45" customHeight="1" x14ac:dyDescent="0.25">
      <c r="A188" s="249"/>
      <c r="B188" s="230"/>
      <c r="C188" s="43" t="s">
        <v>609</v>
      </c>
      <c r="D188" s="298" t="s">
        <v>225</v>
      </c>
      <c r="E188" s="51">
        <v>0</v>
      </c>
      <c r="F188" s="51">
        <f>26*F187</f>
        <v>520</v>
      </c>
      <c r="G188" s="52">
        <f>17*2*G187</f>
        <v>680</v>
      </c>
      <c r="H188" s="51">
        <v>0</v>
      </c>
      <c r="I188" s="51">
        <v>0</v>
      </c>
      <c r="J188" s="49">
        <v>341.19</v>
      </c>
      <c r="K188" s="48"/>
      <c r="L188" s="49"/>
      <c r="M188" s="48">
        <f>J188+K188+L188</f>
        <v>341.19</v>
      </c>
      <c r="N188" s="49">
        <f>(G188*J188-263.85)+8330</f>
        <v>240075.35</v>
      </c>
      <c r="O188" s="48"/>
      <c r="P188" s="51"/>
      <c r="Q188" s="48"/>
      <c r="R188" s="48"/>
      <c r="S188" s="48"/>
      <c r="T188" s="49">
        <f>SUM(N188:Q188)</f>
        <v>240075.35</v>
      </c>
      <c r="U188" s="48">
        <f>H188*J188</f>
        <v>0</v>
      </c>
      <c r="V188" s="48">
        <f>I188*J188</f>
        <v>0</v>
      </c>
    </row>
    <row r="189" spans="1:24" ht="22.15" customHeight="1" x14ac:dyDescent="0.25">
      <c r="A189" s="207"/>
      <c r="B189" s="217"/>
      <c r="C189" s="162" t="s">
        <v>38</v>
      </c>
      <c r="D189" s="47"/>
      <c r="E189" s="51"/>
      <c r="F189" s="51">
        <v>20</v>
      </c>
      <c r="G189" s="52">
        <f>G187</f>
        <v>20</v>
      </c>
      <c r="H189" s="51">
        <f>H187</f>
        <v>0</v>
      </c>
      <c r="I189" s="51">
        <f>I187</f>
        <v>0</v>
      </c>
      <c r="J189" s="48" t="s">
        <v>26</v>
      </c>
      <c r="K189" s="48" t="s">
        <v>26</v>
      </c>
      <c r="L189" s="49" t="s">
        <v>26</v>
      </c>
      <c r="M189" s="48"/>
      <c r="N189" s="48"/>
      <c r="O189" s="48"/>
      <c r="P189" s="51"/>
      <c r="Q189" s="48"/>
      <c r="R189" s="48"/>
      <c r="S189" s="48"/>
      <c r="T189" s="49"/>
      <c r="U189" s="48"/>
      <c r="V189" s="48"/>
    </row>
    <row r="190" spans="1:24" ht="37.9" customHeight="1" x14ac:dyDescent="0.25">
      <c r="A190" s="246" t="s">
        <v>617</v>
      </c>
      <c r="B190" s="229" t="s">
        <v>608</v>
      </c>
      <c r="C190" s="47"/>
      <c r="D190" s="37" t="s">
        <v>24</v>
      </c>
      <c r="E190" s="51"/>
      <c r="F190" s="51">
        <v>20</v>
      </c>
      <c r="G190" s="51">
        <v>15</v>
      </c>
      <c r="H190" s="51">
        <v>15</v>
      </c>
      <c r="I190" s="51">
        <v>0</v>
      </c>
      <c r="J190" s="48">
        <v>0</v>
      </c>
      <c r="K190" s="48"/>
      <c r="L190" s="49"/>
      <c r="M190" s="48">
        <f>J190+K190+L190</f>
        <v>0</v>
      </c>
      <c r="N190" s="48">
        <v>0</v>
      </c>
      <c r="O190" s="48"/>
      <c r="P190" s="51"/>
      <c r="Q190" s="48"/>
      <c r="R190" s="48"/>
      <c r="S190" s="48"/>
      <c r="T190" s="48">
        <f>SUM(N190:Q190)</f>
        <v>0</v>
      </c>
      <c r="U190" s="48"/>
      <c r="V190" s="48"/>
    </row>
    <row r="191" spans="1:24" ht="42.6" customHeight="1" x14ac:dyDescent="0.25">
      <c r="A191" s="249"/>
      <c r="B191" s="230"/>
      <c r="C191" s="43" t="s">
        <v>610</v>
      </c>
      <c r="D191" s="298" t="s">
        <v>225</v>
      </c>
      <c r="E191" s="51">
        <v>0</v>
      </c>
      <c r="F191" s="51">
        <f>26*F190</f>
        <v>520</v>
      </c>
      <c r="G191" s="52">
        <f>14*2*G190</f>
        <v>420</v>
      </c>
      <c r="H191" s="52">
        <f>20*2*H190</f>
        <v>600</v>
      </c>
      <c r="I191" s="51">
        <v>0</v>
      </c>
      <c r="J191" s="49">
        <v>341.19</v>
      </c>
      <c r="K191" s="48"/>
      <c r="L191" s="49"/>
      <c r="M191" s="48">
        <f>J191+K191+L191</f>
        <v>341.19</v>
      </c>
      <c r="N191" s="49">
        <f>(G191*J191+629.2)+4746.1</f>
        <v>148675.1</v>
      </c>
      <c r="O191" s="48"/>
      <c r="P191" s="51"/>
      <c r="Q191" s="48"/>
      <c r="R191" s="48"/>
      <c r="S191" s="48"/>
      <c r="T191" s="49">
        <f>SUM(N191:Q191)</f>
        <v>148675.1</v>
      </c>
      <c r="U191" s="49">
        <f>H191*J191+12275.57</f>
        <v>216989.57</v>
      </c>
      <c r="V191" s="48">
        <f>I191*J191</f>
        <v>0</v>
      </c>
    </row>
    <row r="192" spans="1:24" ht="22.15" customHeight="1" x14ac:dyDescent="0.25">
      <c r="A192" s="207"/>
      <c r="B192" s="217"/>
      <c r="C192" s="162" t="s">
        <v>38</v>
      </c>
      <c r="D192" s="47"/>
      <c r="E192" s="51"/>
      <c r="F192" s="51">
        <v>20</v>
      </c>
      <c r="G192" s="52">
        <f>G190</f>
        <v>15</v>
      </c>
      <c r="H192" s="52">
        <f>H190</f>
        <v>15</v>
      </c>
      <c r="I192" s="51">
        <f>I190</f>
        <v>0</v>
      </c>
      <c r="J192" s="48" t="s">
        <v>26</v>
      </c>
      <c r="K192" s="48" t="s">
        <v>26</v>
      </c>
      <c r="L192" s="49" t="s">
        <v>26</v>
      </c>
      <c r="M192" s="48"/>
      <c r="N192" s="48"/>
      <c r="O192" s="48"/>
      <c r="P192" s="51"/>
      <c r="Q192" s="48"/>
      <c r="R192" s="48"/>
      <c r="S192" s="48"/>
      <c r="T192" s="49"/>
      <c r="U192" s="48"/>
      <c r="V192" s="48"/>
    </row>
    <row r="193" spans="1:23" ht="39.6" customHeight="1" x14ac:dyDescent="0.25">
      <c r="A193" s="246" t="s">
        <v>616</v>
      </c>
      <c r="B193" s="229" t="s">
        <v>608</v>
      </c>
      <c r="C193" s="47"/>
      <c r="D193" s="37" t="s">
        <v>24</v>
      </c>
      <c r="E193" s="51"/>
      <c r="F193" s="51">
        <v>20</v>
      </c>
      <c r="G193" s="51">
        <v>15</v>
      </c>
      <c r="H193" s="51">
        <v>15</v>
      </c>
      <c r="I193" s="51">
        <v>0</v>
      </c>
      <c r="J193" s="48">
        <v>0</v>
      </c>
      <c r="K193" s="48"/>
      <c r="L193" s="49"/>
      <c r="M193" s="48">
        <f>J193+K193+L193</f>
        <v>0</v>
      </c>
      <c r="N193" s="48">
        <v>0</v>
      </c>
      <c r="O193" s="48"/>
      <c r="P193" s="51"/>
      <c r="Q193" s="48"/>
      <c r="R193" s="48"/>
      <c r="S193" s="48"/>
      <c r="T193" s="48">
        <f>SUM(N193:Q193)</f>
        <v>0</v>
      </c>
      <c r="U193" s="48"/>
      <c r="V193" s="48"/>
    </row>
    <row r="194" spans="1:23" ht="42" customHeight="1" x14ac:dyDescent="0.25">
      <c r="A194" s="249"/>
      <c r="B194" s="230"/>
      <c r="C194" s="43" t="s">
        <v>610</v>
      </c>
      <c r="D194" s="298" t="s">
        <v>225</v>
      </c>
      <c r="E194" s="51">
        <v>0</v>
      </c>
      <c r="F194" s="51">
        <f>26*F193</f>
        <v>520</v>
      </c>
      <c r="G194" s="52">
        <f>15*1*G193</f>
        <v>225</v>
      </c>
      <c r="H194" s="52">
        <f>20*1*H193</f>
        <v>300</v>
      </c>
      <c r="I194" s="51">
        <v>0</v>
      </c>
      <c r="J194" s="49">
        <v>341.2</v>
      </c>
      <c r="K194" s="48"/>
      <c r="L194" s="49"/>
      <c r="M194" s="48">
        <f>J194+K194+L194</f>
        <v>341.2</v>
      </c>
      <c r="N194" s="49">
        <f>(G194*J194+629.2)+4746.1</f>
        <v>82145.3</v>
      </c>
      <c r="O194" s="48"/>
      <c r="P194" s="51"/>
      <c r="Q194" s="48"/>
      <c r="R194" s="48"/>
      <c r="S194" s="48"/>
      <c r="T194" s="49">
        <f>SUM(N194:Q194)</f>
        <v>82145.3</v>
      </c>
      <c r="U194" s="49">
        <f>H194*J194+6342.57</f>
        <v>108702.57</v>
      </c>
      <c r="V194" s="48">
        <f>I194*J194</f>
        <v>0</v>
      </c>
    </row>
    <row r="195" spans="1:23" ht="22.15" customHeight="1" x14ac:dyDescent="0.25">
      <c r="A195" s="207"/>
      <c r="B195" s="217"/>
      <c r="C195" s="162" t="s">
        <v>38</v>
      </c>
      <c r="D195" s="47"/>
      <c r="E195" s="51"/>
      <c r="F195" s="51">
        <v>20</v>
      </c>
      <c r="G195" s="52">
        <f>G193</f>
        <v>15</v>
      </c>
      <c r="H195" s="52">
        <f>H193</f>
        <v>15</v>
      </c>
      <c r="I195" s="51">
        <f>I193</f>
        <v>0</v>
      </c>
      <c r="J195" s="48" t="s">
        <v>26</v>
      </c>
      <c r="K195" s="48" t="s">
        <v>26</v>
      </c>
      <c r="L195" s="49" t="s">
        <v>26</v>
      </c>
      <c r="M195" s="48"/>
      <c r="N195" s="48"/>
      <c r="O195" s="48"/>
      <c r="P195" s="51"/>
      <c r="Q195" s="48"/>
      <c r="R195" s="48"/>
      <c r="S195" s="48"/>
      <c r="T195" s="49"/>
      <c r="U195" s="48"/>
      <c r="V195" s="48"/>
    </row>
    <row r="196" spans="1:23" ht="30.6" customHeight="1" x14ac:dyDescent="0.25">
      <c r="A196" s="196" t="s">
        <v>145</v>
      </c>
      <c r="B196" s="197"/>
      <c r="C196" s="197"/>
      <c r="D196" s="197"/>
      <c r="E196" s="197"/>
      <c r="F196" s="197"/>
      <c r="G196" s="202">
        <f>G186+G166+G154+G134+G99+G83+G68+G55+G41+G23</f>
        <v>1078</v>
      </c>
      <c r="H196" s="197"/>
      <c r="I196" s="197"/>
      <c r="J196" s="197"/>
      <c r="K196" s="197"/>
      <c r="L196" s="197"/>
      <c r="M196" s="198"/>
      <c r="N196" s="49">
        <f>N12+N27+N42+N56+N69+N87+N103+N144+N155+N173</f>
        <v>176439511.31999999</v>
      </c>
      <c r="O196" s="49">
        <f>O12+O27+O42+O56+O69+O87+O103+O144+O155+O173</f>
        <v>72109218.390000001</v>
      </c>
      <c r="P196" s="49">
        <f>P12+P27+P42+P56+P69+P87+P103+P144+P155+P173</f>
        <v>0</v>
      </c>
      <c r="Q196" s="49">
        <f>Q12+Q27+Q42+Q56+Q69+Q87+Q103+Q144+Q155+Q173</f>
        <v>155539334.44999999</v>
      </c>
      <c r="R196" s="49" t="e">
        <f>R12+R27+#REF!+R42+R56+R69+R87+R103+R144+R155+R173+1</f>
        <v>#REF!</v>
      </c>
      <c r="S196" s="49">
        <f>S12+S27+S42+S56+S69+S87+S103+S144+S155+S173</f>
        <v>22031819.040000003</v>
      </c>
      <c r="T196" s="49">
        <f>T12+T27+T42+T56+T69+T87+T103+T144+T155+T173</f>
        <v>426119885.12</v>
      </c>
      <c r="U196" s="49">
        <f>U12+U27+U42+U56+U69+U87+U103+U144+U155+U173</f>
        <v>426272507.17000002</v>
      </c>
      <c r="V196" s="49">
        <f>V12+V27+V42+V56+V69+V87+V103+V144+V155+V173</f>
        <v>425080062.17000002</v>
      </c>
      <c r="W196" s="44"/>
    </row>
    <row r="197" spans="1:23" ht="15" customHeight="1" x14ac:dyDescent="0.25">
      <c r="A197" s="38" t="s">
        <v>146</v>
      </c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8"/>
      <c r="O197" s="58"/>
      <c r="P197" s="58"/>
      <c r="Q197" s="57" t="e">
        <f>#REF!+#REF!+#REF!+#REF!+#REF!+#REF!+#REF!+#REF!+#REF!+#REF!+#REF!</f>
        <v>#REF!</v>
      </c>
      <c r="R197" s="57"/>
      <c r="S197" s="57"/>
      <c r="T197" s="57" t="e">
        <f>#REF!+#REF!+#REF!+#REF!+#REF!+#REF!+#REF!+#REF!+#REF!+#REF!+#REF!</f>
        <v>#REF!</v>
      </c>
      <c r="U197" s="56"/>
      <c r="V197" s="58"/>
    </row>
    <row r="198" spans="1:23" ht="16.149999999999999" customHeight="1" x14ac:dyDescent="0.25">
      <c r="A198" s="38" t="s">
        <v>78</v>
      </c>
      <c r="N198" s="333"/>
      <c r="P198" s="44"/>
      <c r="Q198" s="334"/>
      <c r="R198" s="335"/>
      <c r="S198" s="335"/>
      <c r="T198" s="335"/>
      <c r="U198" s="44"/>
      <c r="V198" s="58"/>
    </row>
    <row r="199" spans="1:23" ht="13.9" x14ac:dyDescent="0.25">
      <c r="N199" s="44"/>
      <c r="U199" s="44"/>
    </row>
    <row r="202" spans="1:23" ht="21" customHeight="1" x14ac:dyDescent="0.25"/>
    <row r="205" spans="1:23" hidden="1" x14ac:dyDescent="0.25">
      <c r="M205" s="323" t="s">
        <v>555</v>
      </c>
      <c r="N205" s="324">
        <f>N188+N168+N136+N85</f>
        <v>833000</v>
      </c>
      <c r="Q205" s="44">
        <f>Q13+Q28+Q43+Q57+Q70+Q88+Q104+Q145+Q156+Q174-1.45</f>
        <v>81752859.099999994</v>
      </c>
      <c r="S205" s="38" t="s">
        <v>554</v>
      </c>
    </row>
    <row r="206" spans="1:23" hidden="1" x14ac:dyDescent="0.25">
      <c r="Q206" s="44">
        <f>Q22+Q40+Q54+Q67+Q82+Q98+Q133+Q153+Q165+Q185</f>
        <v>73786475.820000008</v>
      </c>
      <c r="S206" s="38" t="s">
        <v>553</v>
      </c>
    </row>
    <row r="207" spans="1:23" ht="13.9" hidden="1" x14ac:dyDescent="0.25">
      <c r="Q207" s="44">
        <f>Q206+Q205</f>
        <v>155539334.92000002</v>
      </c>
    </row>
    <row r="208" spans="1:23" ht="13.9" hidden="1" x14ac:dyDescent="0.25">
      <c r="S208" s="44"/>
    </row>
    <row r="209" spans="17:17" ht="13.9" hidden="1" x14ac:dyDescent="0.25">
      <c r="Q209" s="44">
        <f>Q207-Q196</f>
        <v>0.47000002861022949</v>
      </c>
    </row>
  </sheetData>
  <mergeCells count="51">
    <mergeCell ref="A190:A191"/>
    <mergeCell ref="B190:B191"/>
    <mergeCell ref="A193:A194"/>
    <mergeCell ref="B193:B194"/>
    <mergeCell ref="A5:V5"/>
    <mergeCell ref="C16:C21"/>
    <mergeCell ref="C14:C15"/>
    <mergeCell ref="C29:C30"/>
    <mergeCell ref="C31:C32"/>
    <mergeCell ref="E9:I9"/>
    <mergeCell ref="J9:M9"/>
    <mergeCell ref="N9:V9"/>
    <mergeCell ref="N10:T10"/>
    <mergeCell ref="A24:A25"/>
    <mergeCell ref="B24:B25"/>
    <mergeCell ref="C121:C122"/>
    <mergeCell ref="C176:C180"/>
    <mergeCell ref="C105:C106"/>
    <mergeCell ref="C123:C128"/>
    <mergeCell ref="C129:C132"/>
    <mergeCell ref="C148:C152"/>
    <mergeCell ref="A187:A188"/>
    <mergeCell ref="B187:B188"/>
    <mergeCell ref="C159:C164"/>
    <mergeCell ref="C33:C36"/>
    <mergeCell ref="C44:C45"/>
    <mergeCell ref="C46:C47"/>
    <mergeCell ref="C48:C50"/>
    <mergeCell ref="C60:C64"/>
    <mergeCell ref="C71:C72"/>
    <mergeCell ref="C80:C81"/>
    <mergeCell ref="C74:C76"/>
    <mergeCell ref="C91:C93"/>
    <mergeCell ref="C107:C116"/>
    <mergeCell ref="C78:C79"/>
    <mergeCell ref="C96:C97"/>
    <mergeCell ref="C117:C120"/>
    <mergeCell ref="B84:B85"/>
    <mergeCell ref="A84:A85"/>
    <mergeCell ref="A100:A101"/>
    <mergeCell ref="B100:B101"/>
    <mergeCell ref="A138:A139"/>
    <mergeCell ref="B138:B139"/>
    <mergeCell ref="A170:A171"/>
    <mergeCell ref="B170:B171"/>
    <mergeCell ref="A135:A136"/>
    <mergeCell ref="B135:B136"/>
    <mergeCell ref="A167:A168"/>
    <mergeCell ref="B167:B168"/>
    <mergeCell ref="A141:A142"/>
    <mergeCell ref="B141:B142"/>
  </mergeCells>
  <pageMargins left="0.39370078740157483" right="0" top="0" bottom="0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AT39"/>
  <sheetViews>
    <sheetView topLeftCell="P1" zoomScale="81" zoomScaleNormal="81" workbookViewId="0">
      <selection activeCell="A25" sqref="A25:XFD28"/>
    </sheetView>
  </sheetViews>
  <sheetFormatPr defaultColWidth="8.85546875" defaultRowHeight="15" x14ac:dyDescent="0.25"/>
  <cols>
    <col min="1" max="1" width="17.5703125" style="183" customWidth="1"/>
    <col min="2" max="2" width="14.5703125" style="183" customWidth="1"/>
    <col min="3" max="3" width="8.5703125" style="183" hidden="1" customWidth="1"/>
    <col min="4" max="4" width="14.42578125" style="183" customWidth="1"/>
    <col min="5" max="5" width="14.7109375" style="183" customWidth="1"/>
    <col min="6" max="6" width="15.5703125" style="183" customWidth="1"/>
    <col min="7" max="9" width="16.7109375" style="183" customWidth="1"/>
    <col min="10" max="10" width="15" style="183" customWidth="1"/>
    <col min="11" max="12" width="14.85546875" style="183" customWidth="1"/>
    <col min="13" max="13" width="16.28515625" style="183" customWidth="1"/>
    <col min="14" max="14" width="15.7109375" style="183" customWidth="1"/>
    <col min="15" max="15" width="0" style="183" hidden="1" customWidth="1"/>
    <col min="16" max="16" width="8.85546875" style="183"/>
    <col min="17" max="17" width="0" style="183" hidden="1" customWidth="1"/>
    <col min="18" max="19" width="8.85546875" style="183"/>
    <col min="20" max="20" width="15.140625" style="183" customWidth="1"/>
    <col min="21" max="21" width="12.28515625" style="183" customWidth="1"/>
    <col min="22" max="22" width="13.7109375" style="183" customWidth="1"/>
    <col min="23" max="25" width="14.7109375" style="183" customWidth="1"/>
    <col min="26" max="26" width="16.7109375" style="183" customWidth="1"/>
    <col min="27" max="27" width="15.5703125" style="183" customWidth="1"/>
    <col min="28" max="28" width="14.85546875" style="183" customWidth="1"/>
    <col min="29" max="29" width="16.7109375" style="183" customWidth="1"/>
    <col min="30" max="30" width="17.5703125" style="183" customWidth="1"/>
    <col min="31" max="31" width="14" style="183" hidden="1" customWidth="1"/>
    <col min="32" max="33" width="15.7109375" style="183" hidden="1" customWidth="1"/>
    <col min="34" max="34" width="17.28515625" style="183" hidden="1" customWidth="1"/>
    <col min="35" max="35" width="17.85546875" style="183" hidden="1" customWidth="1"/>
    <col min="36" max="36" width="17.28515625" style="183" customWidth="1"/>
    <col min="37" max="37" width="18" style="183" customWidth="1"/>
    <col min="38" max="38" width="17.7109375" style="183" hidden="1" customWidth="1"/>
    <col min="39" max="39" width="12.85546875" style="183" hidden="1" customWidth="1"/>
    <col min="40" max="40" width="16.7109375" style="183" customWidth="1"/>
    <col min="41" max="41" width="12.5703125" style="183" hidden="1" customWidth="1"/>
    <col min="42" max="16384" width="8.85546875" style="183"/>
  </cols>
  <sheetData>
    <row r="2" spans="1:46" x14ac:dyDescent="0.25">
      <c r="AB2" s="407" t="s">
        <v>88</v>
      </c>
      <c r="AC2" s="407"/>
    </row>
    <row r="3" spans="1:46" x14ac:dyDescent="0.25">
      <c r="AB3" s="410" t="s">
        <v>604</v>
      </c>
      <c r="AC3" s="410"/>
    </row>
    <row r="4" spans="1:4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AD4" s="452"/>
      <c r="AE4" s="452"/>
      <c r="AF4" s="452"/>
      <c r="AG4" s="452"/>
      <c r="AH4" s="452"/>
      <c r="AI4" s="452"/>
      <c r="AJ4" s="452"/>
    </row>
    <row r="5" spans="1:46" ht="18.75" x14ac:dyDescent="0.3">
      <c r="A5" s="453" t="s">
        <v>544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AC5" s="417"/>
    </row>
    <row r="6" spans="1:46" x14ac:dyDescent="0.25">
      <c r="A6" s="454" t="s">
        <v>147</v>
      </c>
      <c r="B6" s="454"/>
      <c r="C6" s="454"/>
      <c r="D6" s="454"/>
      <c r="E6" s="454"/>
      <c r="F6" s="455"/>
      <c r="G6" s="455"/>
      <c r="H6" s="455"/>
      <c r="I6" s="455"/>
      <c r="J6" s="455"/>
      <c r="K6" s="455"/>
      <c r="L6" s="455"/>
      <c r="M6" s="455"/>
      <c r="N6" s="456"/>
      <c r="O6" s="456"/>
      <c r="P6" s="455"/>
      <c r="Q6" s="455"/>
      <c r="R6" s="455"/>
      <c r="S6" s="455"/>
      <c r="T6" s="455"/>
      <c r="U6" s="455"/>
      <c r="V6" s="455"/>
      <c r="W6" s="455"/>
      <c r="X6" s="455"/>
      <c r="Y6" s="456"/>
      <c r="Z6" s="455"/>
      <c r="AA6" s="455"/>
      <c r="AB6" s="455"/>
      <c r="AC6" s="455"/>
      <c r="AD6" s="455"/>
    </row>
    <row r="7" spans="1:46" ht="78" customHeight="1" x14ac:dyDescent="0.25">
      <c r="A7" s="258" t="s">
        <v>2</v>
      </c>
      <c r="B7" s="243" t="s">
        <v>8</v>
      </c>
      <c r="C7" s="244"/>
      <c r="D7" s="244"/>
      <c r="E7" s="245"/>
      <c r="F7" s="257" t="s">
        <v>148</v>
      </c>
      <c r="G7" s="243" t="s">
        <v>149</v>
      </c>
      <c r="H7" s="244"/>
      <c r="I7" s="244"/>
      <c r="J7" s="244"/>
      <c r="K7" s="244"/>
      <c r="L7" s="244"/>
      <c r="M7" s="244"/>
      <c r="N7" s="244"/>
      <c r="O7" s="442"/>
      <c r="P7" s="243" t="s">
        <v>545</v>
      </c>
      <c r="Q7" s="244"/>
      <c r="R7" s="244"/>
      <c r="S7" s="245"/>
      <c r="T7" s="243" t="s">
        <v>323</v>
      </c>
      <c r="U7" s="244"/>
      <c r="V7" s="244"/>
      <c r="W7" s="244"/>
      <c r="X7" s="244"/>
      <c r="Y7" s="244"/>
      <c r="Z7" s="244"/>
      <c r="AA7" s="244"/>
      <c r="AB7" s="245"/>
      <c r="AC7" s="233" t="s">
        <v>163</v>
      </c>
      <c r="AD7" s="225" t="s">
        <v>323</v>
      </c>
      <c r="AE7" s="443" t="s">
        <v>131</v>
      </c>
      <c r="AF7" s="443" t="s">
        <v>122</v>
      </c>
      <c r="AG7" s="255" t="s">
        <v>150</v>
      </c>
      <c r="AH7" s="255" t="s">
        <v>151</v>
      </c>
      <c r="AI7" s="443" t="s">
        <v>2</v>
      </c>
      <c r="AJ7" s="30" t="s">
        <v>420</v>
      </c>
      <c r="AK7" s="30" t="s">
        <v>546</v>
      </c>
      <c r="AL7" s="258" t="s">
        <v>2</v>
      </c>
      <c r="AM7" s="77" t="s">
        <v>559</v>
      </c>
      <c r="AN7" s="77"/>
      <c r="AO7" s="77"/>
      <c r="AP7" s="77"/>
      <c r="AQ7" s="77"/>
      <c r="AR7" s="77"/>
      <c r="AS7" s="77"/>
    </row>
    <row r="8" spans="1:46" ht="31.15" customHeight="1" x14ac:dyDescent="0.25">
      <c r="A8" s="444"/>
      <c r="B8" s="37"/>
      <c r="C8" s="37"/>
      <c r="D8" s="37"/>
      <c r="E8" s="37"/>
      <c r="F8" s="257"/>
      <c r="G8" s="243" t="s">
        <v>152</v>
      </c>
      <c r="H8" s="244"/>
      <c r="I8" s="245"/>
      <c r="J8" s="444" t="s">
        <v>153</v>
      </c>
      <c r="K8" s="444"/>
      <c r="L8" s="444"/>
      <c r="M8" s="444"/>
      <c r="N8" s="37"/>
      <c r="O8" s="219"/>
      <c r="T8" s="255" t="s">
        <v>295</v>
      </c>
      <c r="U8" s="224"/>
      <c r="V8" s="255" t="s">
        <v>294</v>
      </c>
      <c r="W8" s="255" t="s">
        <v>162</v>
      </c>
      <c r="X8" s="243" t="s">
        <v>278</v>
      </c>
      <c r="Y8" s="245"/>
      <c r="Z8" s="326" t="s">
        <v>293</v>
      </c>
      <c r="AA8" s="243" t="s">
        <v>279</v>
      </c>
      <c r="AB8" s="245"/>
      <c r="AC8" s="234"/>
      <c r="AD8" s="30"/>
      <c r="AE8" s="443"/>
      <c r="AF8" s="443"/>
      <c r="AG8" s="457"/>
      <c r="AH8" s="457"/>
      <c r="AI8" s="443"/>
      <c r="AJ8" s="458"/>
      <c r="AK8" s="459"/>
      <c r="AL8" s="444"/>
      <c r="AM8" s="460"/>
    </row>
    <row r="9" spans="1:46" ht="134.44999999999999" customHeight="1" x14ac:dyDescent="0.25">
      <c r="A9" s="444"/>
      <c r="B9" s="30" t="s">
        <v>122</v>
      </c>
      <c r="C9" s="27" t="s">
        <v>519</v>
      </c>
      <c r="D9" s="30" t="s">
        <v>154</v>
      </c>
      <c r="E9" s="30" t="s">
        <v>155</v>
      </c>
      <c r="F9" s="258"/>
      <c r="G9" s="30" t="s">
        <v>156</v>
      </c>
      <c r="H9" s="27" t="s">
        <v>519</v>
      </c>
      <c r="I9" s="30" t="s">
        <v>157</v>
      </c>
      <c r="J9" s="30" t="s">
        <v>276</v>
      </c>
      <c r="K9" s="30" t="s">
        <v>158</v>
      </c>
      <c r="L9" s="30" t="s">
        <v>277</v>
      </c>
      <c r="M9" s="30" t="s">
        <v>650</v>
      </c>
      <c r="N9" s="37" t="s">
        <v>9</v>
      </c>
      <c r="O9" s="59" t="s">
        <v>98</v>
      </c>
      <c r="P9" s="30" t="s">
        <v>159</v>
      </c>
      <c r="Q9" s="209" t="s">
        <v>556</v>
      </c>
      <c r="R9" s="59" t="s">
        <v>160</v>
      </c>
      <c r="S9" s="30" t="s">
        <v>161</v>
      </c>
      <c r="T9" s="256"/>
      <c r="U9" s="28" t="s">
        <v>520</v>
      </c>
      <c r="V9" s="256"/>
      <c r="W9" s="256"/>
      <c r="X9" s="30" t="s">
        <v>276</v>
      </c>
      <c r="Y9" s="37" t="s">
        <v>651</v>
      </c>
      <c r="Z9" s="258"/>
      <c r="AA9" s="30" t="s">
        <v>122</v>
      </c>
      <c r="AB9" s="30" t="s">
        <v>154</v>
      </c>
      <c r="AC9" s="235"/>
      <c r="AD9" s="30" t="s">
        <v>164</v>
      </c>
      <c r="AE9" s="443"/>
      <c r="AF9" s="443"/>
      <c r="AG9" s="256"/>
      <c r="AH9" s="256"/>
      <c r="AI9" s="443"/>
      <c r="AJ9" s="225" t="s">
        <v>164</v>
      </c>
      <c r="AK9" s="225" t="s">
        <v>164</v>
      </c>
      <c r="AL9" s="444"/>
      <c r="AT9" s="60"/>
    </row>
    <row r="10" spans="1:46" ht="31.15" customHeight="1" x14ac:dyDescent="0.25">
      <c r="A10" s="30" t="s">
        <v>18</v>
      </c>
      <c r="B10" s="30" t="s">
        <v>21</v>
      </c>
      <c r="C10" s="30" t="s">
        <v>21</v>
      </c>
      <c r="D10" s="30" t="s">
        <v>21</v>
      </c>
      <c r="E10" s="30" t="s">
        <v>21</v>
      </c>
      <c r="F10" s="30" t="s">
        <v>21</v>
      </c>
      <c r="G10" s="30" t="s">
        <v>21</v>
      </c>
      <c r="H10" s="30"/>
      <c r="I10" s="30" t="s">
        <v>21</v>
      </c>
      <c r="J10" s="30" t="s">
        <v>21</v>
      </c>
      <c r="K10" s="30" t="s">
        <v>21</v>
      </c>
      <c r="L10" s="30" t="s">
        <v>21</v>
      </c>
      <c r="M10" s="30" t="s">
        <v>21</v>
      </c>
      <c r="N10" s="30" t="s">
        <v>21</v>
      </c>
      <c r="O10" s="30" t="s">
        <v>21</v>
      </c>
      <c r="P10" s="30"/>
      <c r="Q10" s="30"/>
      <c r="R10" s="30"/>
      <c r="S10" s="30"/>
      <c r="T10" s="30" t="s">
        <v>21</v>
      </c>
      <c r="U10" s="30" t="s">
        <v>21</v>
      </c>
      <c r="V10" s="30" t="s">
        <v>21</v>
      </c>
      <c r="W10" s="30" t="s">
        <v>21</v>
      </c>
      <c r="X10" s="30" t="s">
        <v>21</v>
      </c>
      <c r="Y10" s="30" t="s">
        <v>21</v>
      </c>
      <c r="Z10" s="30" t="s">
        <v>21</v>
      </c>
      <c r="AA10" s="30" t="s">
        <v>21</v>
      </c>
      <c r="AB10" s="30" t="s">
        <v>21</v>
      </c>
      <c r="AC10" s="30" t="s">
        <v>21</v>
      </c>
      <c r="AD10" s="30" t="s">
        <v>21</v>
      </c>
      <c r="AE10" s="30" t="s">
        <v>21</v>
      </c>
      <c r="AF10" s="30" t="s">
        <v>21</v>
      </c>
      <c r="AG10" s="30" t="s">
        <v>21</v>
      </c>
      <c r="AH10" s="30" t="s">
        <v>21</v>
      </c>
      <c r="AI10" s="30" t="s">
        <v>21</v>
      </c>
      <c r="AJ10" s="30" t="s">
        <v>21</v>
      </c>
      <c r="AK10" s="30" t="s">
        <v>21</v>
      </c>
      <c r="AL10" s="37" t="s">
        <v>18</v>
      </c>
      <c r="AM10" s="461"/>
      <c r="AT10" s="1"/>
    </row>
    <row r="11" spans="1:46" ht="26.45" customHeight="1" x14ac:dyDescent="0.25">
      <c r="A11" s="445" t="s">
        <v>120</v>
      </c>
      <c r="B11" s="61">
        <f>'прилож.3-сады'!T13</f>
        <v>27852415.154999997</v>
      </c>
      <c r="C11" s="61">
        <v>0</v>
      </c>
      <c r="D11" s="61">
        <f>'прилож.3-сады'!Q22</f>
        <v>12767502.379999999</v>
      </c>
      <c r="E11" s="61">
        <f>'прилож.3-сады'!S23</f>
        <v>1757640.48</v>
      </c>
      <c r="F11" s="62">
        <f>SUM(B11:E11)</f>
        <v>42377558.014999993</v>
      </c>
      <c r="G11" s="61">
        <f>'прилож.3-сады'!N13</f>
        <v>12255446.649999999</v>
      </c>
      <c r="H11" s="61">
        <v>0</v>
      </c>
      <c r="I11" s="61">
        <f>'прилож.3-сады'!O12</f>
        <v>5627658.1150000002</v>
      </c>
      <c r="J11" s="61">
        <f>'прилож.3-сады'!Q13</f>
        <v>9969310.3900000025</v>
      </c>
      <c r="K11" s="61">
        <f>'прилож.3-сады'!Q22</f>
        <v>12767502.379999999</v>
      </c>
      <c r="L11" s="61">
        <f>SUM(J11:K11)</f>
        <v>22736812.770000003</v>
      </c>
      <c r="M11" s="61">
        <f>'прилож.3-сады'!S23</f>
        <v>1757640.48</v>
      </c>
      <c r="N11" s="62">
        <f>G11+I11+L11+M11</f>
        <v>42377558.015000001</v>
      </c>
      <c r="O11" s="61"/>
      <c r="P11" s="61">
        <f>T11/G11</f>
        <v>1.0637084369340388</v>
      </c>
      <c r="Q11" s="61">
        <v>0</v>
      </c>
      <c r="R11" s="61">
        <f>V11/I11</f>
        <v>1.0780956973609617</v>
      </c>
      <c r="S11" s="61">
        <f>W11/L11</f>
        <v>0.98157904521461192</v>
      </c>
      <c r="T11" s="61">
        <f>12259917+776305</f>
        <v>13036222</v>
      </c>
      <c r="U11" s="61">
        <v>262709.2</v>
      </c>
      <c r="V11" s="61">
        <f>5138992+928162</f>
        <v>6067154</v>
      </c>
      <c r="W11" s="61">
        <f>18953169.22+3234809.75+130000</f>
        <v>22317978.969999999</v>
      </c>
      <c r="X11" s="61">
        <f>J11*S11</f>
        <v>9785666.1740643121</v>
      </c>
      <c r="Y11" s="446">
        <f>K11*S11</f>
        <v>12532312.795935685</v>
      </c>
      <c r="Z11" s="62">
        <f>T11+U11+V11+W11</f>
        <v>41684064.170000002</v>
      </c>
      <c r="AA11" s="61">
        <f>T11+V11+X11</f>
        <v>28889042.174064312</v>
      </c>
      <c r="AB11" s="61">
        <f>Y11</f>
        <v>12532312.795935685</v>
      </c>
      <c r="AC11" s="446">
        <f>1716765.12+20437.68</f>
        <v>1737202.8</v>
      </c>
      <c r="AD11" s="61">
        <f t="shared" ref="AD11:AD12" si="0">Z11</f>
        <v>41684064.170000002</v>
      </c>
      <c r="AE11" s="61">
        <f>989605.4+36447.59+1328250</f>
        <v>2354302.9900000002</v>
      </c>
      <c r="AF11" s="61">
        <f t="shared" ref="AF11:AF20" si="1">T11+V11+W11-Y11</f>
        <v>28889042.174064316</v>
      </c>
      <c r="AG11" s="447" t="e">
        <f>AE11/#REF!</f>
        <v>#REF!</v>
      </c>
      <c r="AH11" s="447">
        <f t="shared" ref="AH11:AH20" si="2">AF11/B11</f>
        <v>1.0372185684184096</v>
      </c>
      <c r="AI11" s="37" t="s">
        <v>120</v>
      </c>
      <c r="AJ11" s="61">
        <f>36352078.22-185959+295249.57</f>
        <v>36461368.789999999</v>
      </c>
      <c r="AK11" s="61">
        <v>36166119.219999999</v>
      </c>
      <c r="AL11" s="445" t="s">
        <v>120</v>
      </c>
      <c r="AM11" s="438">
        <f>L11-W11</f>
        <v>418833.80000000447</v>
      </c>
      <c r="AN11" s="417"/>
      <c r="AO11" s="448">
        <v>1285143.75</v>
      </c>
      <c r="AT11" s="462"/>
    </row>
    <row r="12" spans="1:46" ht="27" customHeight="1" x14ac:dyDescent="0.25">
      <c r="A12" s="445" t="s">
        <v>130</v>
      </c>
      <c r="B12" s="61">
        <f>'прилож.3-сады'!T28</f>
        <v>28134844.380000003</v>
      </c>
      <c r="C12" s="61">
        <v>0</v>
      </c>
      <c r="D12" s="61">
        <f>'прилож.3-сады'!Q40</f>
        <v>4797862.6800000006</v>
      </c>
      <c r="E12" s="61">
        <f>'прилож.3-сады'!S41</f>
        <v>1594139.04</v>
      </c>
      <c r="F12" s="62">
        <f>SUM(B12:E12)</f>
        <v>34526846.100000001</v>
      </c>
      <c r="G12" s="61">
        <f>'прилож.3-сады'!N28</f>
        <v>16043852.640000001</v>
      </c>
      <c r="H12" s="61">
        <v>0</v>
      </c>
      <c r="I12" s="61">
        <f>'прилож.3-сады'!O28</f>
        <v>6446718.2999999998</v>
      </c>
      <c r="J12" s="61">
        <f>'прилож.3-сады'!Q28</f>
        <v>5644273.4399999995</v>
      </c>
      <c r="K12" s="61">
        <f>'прилож.3-сады'!Q40</f>
        <v>4797862.6800000006</v>
      </c>
      <c r="L12" s="61">
        <f t="shared" ref="L12:L20" si="3">SUM(J12:K12)</f>
        <v>10442136.120000001</v>
      </c>
      <c r="M12" s="61">
        <f>'прилож.3-сады'!S41</f>
        <v>1594139.04</v>
      </c>
      <c r="N12" s="62">
        <f>G12+I12+L12+M12</f>
        <v>34526846.100000001</v>
      </c>
      <c r="O12" s="61"/>
      <c r="P12" s="61">
        <f t="shared" ref="P12:P21" si="4">T12/G12</f>
        <v>1.0206692474333272</v>
      </c>
      <c r="Q12" s="61">
        <v>0</v>
      </c>
      <c r="R12" s="61">
        <f>V12/I12</f>
        <v>1.0886866268066964</v>
      </c>
      <c r="S12" s="61">
        <f t="shared" ref="S12:S21" si="5">W12/L12</f>
        <v>1.1532258698424245</v>
      </c>
      <c r="T12" s="61">
        <f>14451204+1924263</f>
        <v>16375467</v>
      </c>
      <c r="U12" s="61">
        <v>0</v>
      </c>
      <c r="V12" s="61">
        <f>6160339+858117</f>
        <v>7018456</v>
      </c>
      <c r="W12" s="61">
        <f>9323928+2632625.75+85587.76</f>
        <v>12042141.51</v>
      </c>
      <c r="X12" s="61">
        <f t="shared" ref="X12:X20" si="6">J12*S12</f>
        <v>6509122.1474724924</v>
      </c>
      <c r="Y12" s="446">
        <f>K12*S12</f>
        <v>5533019.3625275064</v>
      </c>
      <c r="Z12" s="62">
        <f t="shared" ref="Z12:Z18" si="7">T12+V12+W12</f>
        <v>35436064.509999998</v>
      </c>
      <c r="AA12" s="61">
        <f t="shared" ref="AA12:AA18" si="8">T12+V12+X12</f>
        <v>29903045.147472493</v>
      </c>
      <c r="AB12" s="61">
        <f t="shared" ref="AB12:AB20" si="9">Y12</f>
        <v>5533019.3625275064</v>
      </c>
      <c r="AC12" s="446">
        <f>1512388.32+61313.04</f>
        <v>1573701.36</v>
      </c>
      <c r="AD12" s="61">
        <f t="shared" si="0"/>
        <v>35436064.509999998</v>
      </c>
      <c r="AE12" s="61">
        <f>810487.3+1293600</f>
        <v>2104087.2999999998</v>
      </c>
      <c r="AF12" s="61">
        <f t="shared" si="1"/>
        <v>29903045.147472493</v>
      </c>
      <c r="AG12" s="447" t="e">
        <f>AE12/#REF!</f>
        <v>#REF!</v>
      </c>
      <c r="AH12" s="447">
        <f t="shared" si="2"/>
        <v>1.0628473626365404</v>
      </c>
      <c r="AI12" s="37" t="s">
        <v>130</v>
      </c>
      <c r="AJ12" s="61">
        <f>29935471+92417</f>
        <v>30027888</v>
      </c>
      <c r="AK12" s="61">
        <f t="shared" ref="AK12:AK18" si="10">AJ12</f>
        <v>30027888</v>
      </c>
      <c r="AL12" s="445" t="s">
        <v>130</v>
      </c>
      <c r="AM12" s="438">
        <f t="shared" ref="AM12:AM20" si="11">L12-W12</f>
        <v>-1600005.3899999987</v>
      </c>
      <c r="AN12" s="417"/>
      <c r="AO12" s="448">
        <v>1353684.75</v>
      </c>
      <c r="AT12" s="462"/>
    </row>
    <row r="13" spans="1:46" ht="27" customHeight="1" x14ac:dyDescent="0.25">
      <c r="A13" s="445" t="s">
        <v>135</v>
      </c>
      <c r="B13" s="61">
        <f>'прилож.3-сады'!T43</f>
        <v>30005414.120000001</v>
      </c>
      <c r="C13" s="61">
        <v>0</v>
      </c>
      <c r="D13" s="61">
        <f>'прилож.3-сады'!Q54</f>
        <v>5905061.7599999998</v>
      </c>
      <c r="E13" s="61">
        <f>'прилож.3-сады'!S55</f>
        <v>1962017.28</v>
      </c>
      <c r="F13" s="62">
        <f t="shared" ref="F13:F18" si="12">SUM(B13:E13)</f>
        <v>37872493.160000004</v>
      </c>
      <c r="G13" s="61">
        <f>'прилож.3-сады'!N43</f>
        <v>16622806.780000001</v>
      </c>
      <c r="H13" s="61">
        <v>0</v>
      </c>
      <c r="I13" s="61">
        <f>'прилож.3-сады'!O43</f>
        <v>6435810.2600000007</v>
      </c>
      <c r="J13" s="203">
        <f>'прилож.3-сады'!Q43</f>
        <v>6946797.0800000001</v>
      </c>
      <c r="K13" s="61">
        <f>'прилож.3-сады'!Q54</f>
        <v>5905061.7599999998</v>
      </c>
      <c r="L13" s="61">
        <f t="shared" si="3"/>
        <v>12851858.84</v>
      </c>
      <c r="M13" s="61">
        <f>'прилож.3-сады'!S55</f>
        <v>1962017.28</v>
      </c>
      <c r="N13" s="62">
        <f>G13+I13+L13+M13</f>
        <v>37872493.160000004</v>
      </c>
      <c r="O13" s="61"/>
      <c r="P13" s="61">
        <f t="shared" si="4"/>
        <v>1.0770295436231978</v>
      </c>
      <c r="Q13" s="61">
        <v>0</v>
      </c>
      <c r="R13" s="61">
        <f t="shared" ref="R13:R21" si="13">V13/I13</f>
        <v>1.1051355948458306</v>
      </c>
      <c r="S13" s="61">
        <f t="shared" si="5"/>
        <v>1.5804486512707447</v>
      </c>
      <c r="T13" s="61">
        <f>17135497+767757</f>
        <v>17903254</v>
      </c>
      <c r="U13" s="61">
        <v>0</v>
      </c>
      <c r="V13" s="61">
        <f>6574537+537906</f>
        <v>7112443</v>
      </c>
      <c r="W13" s="61">
        <f>12059098+8252604.97</f>
        <v>20311702.969999999</v>
      </c>
      <c r="X13" s="61">
        <f>J13*S13</f>
        <v>10979056.075737547</v>
      </c>
      <c r="Y13" s="446">
        <f>K13*S13</f>
        <v>9332646.8942624498</v>
      </c>
      <c r="Z13" s="62">
        <f>T13+V13+W13</f>
        <v>45327399.969999999</v>
      </c>
      <c r="AA13" s="61">
        <f>T13+V13+X13</f>
        <v>35994753.075737551</v>
      </c>
      <c r="AB13" s="61">
        <f t="shared" si="9"/>
        <v>9332646.8942624498</v>
      </c>
      <c r="AC13" s="446">
        <f>1982454.96-122626.08</f>
        <v>1859828.88</v>
      </c>
      <c r="AD13" s="61">
        <f>Z13</f>
        <v>45327399.969999999</v>
      </c>
      <c r="AE13" s="61">
        <f>2299256.17+2483250</f>
        <v>4782506.17</v>
      </c>
      <c r="AF13" s="61">
        <f t="shared" si="1"/>
        <v>35994753.075737551</v>
      </c>
      <c r="AG13" s="447" t="e">
        <f>AE13/#REF!</f>
        <v>#REF!</v>
      </c>
      <c r="AH13" s="447">
        <f t="shared" si="2"/>
        <v>1.1996086083592954</v>
      </c>
      <c r="AI13" s="37" t="s">
        <v>135</v>
      </c>
      <c r="AJ13" s="61">
        <f>35769132+4372133</f>
        <v>40141265</v>
      </c>
      <c r="AK13" s="61">
        <f t="shared" si="10"/>
        <v>40141265</v>
      </c>
      <c r="AL13" s="445" t="s">
        <v>135</v>
      </c>
      <c r="AM13" s="438">
        <f t="shared" si="11"/>
        <v>-7459844.129999999</v>
      </c>
      <c r="AN13" s="417"/>
      <c r="AO13" s="448">
        <v>1884877.5</v>
      </c>
      <c r="AT13" s="462"/>
    </row>
    <row r="14" spans="1:46" ht="27" customHeight="1" x14ac:dyDescent="0.25">
      <c r="A14" s="445" t="s">
        <v>136</v>
      </c>
      <c r="B14" s="61">
        <f>'прилож.3-сады'!T57</f>
        <v>23286279.195</v>
      </c>
      <c r="C14" s="61">
        <v>0</v>
      </c>
      <c r="D14" s="61">
        <f>'прилож.3-сады'!Q67</f>
        <v>5351462.22</v>
      </c>
      <c r="E14" s="61">
        <f>'прилож.3-сады'!S68</f>
        <v>1778078.16</v>
      </c>
      <c r="F14" s="62">
        <f t="shared" si="12"/>
        <v>30415819.574999999</v>
      </c>
      <c r="G14" s="61">
        <f>'прилож.3-сады'!N57</f>
        <v>12185289.57</v>
      </c>
      <c r="H14" s="61">
        <v>0</v>
      </c>
      <c r="I14" s="61">
        <f>'прилож.3-сады'!O57</f>
        <v>4805453.8650000002</v>
      </c>
      <c r="J14" s="61">
        <f>'прилож.3-сады'!Q57</f>
        <v>6295535.7599999998</v>
      </c>
      <c r="K14" s="61">
        <f>'прилож.3-сады'!Q67</f>
        <v>5351462.22</v>
      </c>
      <c r="L14" s="61">
        <f t="shared" si="3"/>
        <v>11646997.98</v>
      </c>
      <c r="M14" s="61">
        <f>'прилож.3-сады'!S68</f>
        <v>1778078.16</v>
      </c>
      <c r="N14" s="62">
        <f>G14+I14+L14+M14</f>
        <v>30415819.575000003</v>
      </c>
      <c r="O14" s="61"/>
      <c r="P14" s="61">
        <f t="shared" si="4"/>
        <v>1.0455015391152498</v>
      </c>
      <c r="Q14" s="61">
        <v>0</v>
      </c>
      <c r="R14" s="61">
        <f t="shared" si="13"/>
        <v>1.1057259416639931</v>
      </c>
      <c r="S14" s="61">
        <f t="shared" si="5"/>
        <v>1.2257234039633618</v>
      </c>
      <c r="T14" s="61">
        <f>11678527+1061212</f>
        <v>12739739</v>
      </c>
      <c r="U14" s="61">
        <v>0</v>
      </c>
      <c r="V14" s="61">
        <f>4920569+392946</f>
        <v>5313515</v>
      </c>
      <c r="W14" s="61">
        <f>11287388.07+2886404.94+102205</f>
        <v>14275998.01</v>
      </c>
      <c r="X14" s="61">
        <f t="shared" si="6"/>
        <v>7716585.5215202691</v>
      </c>
      <c r="Y14" s="446">
        <f>K14*S14</f>
        <v>6559412.4884797288</v>
      </c>
      <c r="Z14" s="62">
        <f>T14+V14+W14</f>
        <v>32329252.009999998</v>
      </c>
      <c r="AA14" s="61">
        <f t="shared" si="8"/>
        <v>25769839.521520268</v>
      </c>
      <c r="AB14" s="61">
        <f t="shared" si="9"/>
        <v>6559412.4884797288</v>
      </c>
      <c r="AC14" s="446">
        <f>1778078.16-20437.68</f>
        <v>1757640.48</v>
      </c>
      <c r="AD14" s="61">
        <f>Z14</f>
        <v>32329252.009999998</v>
      </c>
      <c r="AE14" s="61">
        <f>1023799.35+1178100</f>
        <v>2201899.35</v>
      </c>
      <c r="AF14" s="61">
        <f t="shared" si="1"/>
        <v>25769839.521520268</v>
      </c>
      <c r="AG14" s="447" t="e">
        <f>AE14/#REF!</f>
        <v>#REF!</v>
      </c>
      <c r="AH14" s="447">
        <f t="shared" si="2"/>
        <v>1.1066533775414638</v>
      </c>
      <c r="AI14" s="37" t="s">
        <v>136</v>
      </c>
      <c r="AJ14" s="61">
        <f>27886484.07+57696.44</f>
        <v>27944180.510000002</v>
      </c>
      <c r="AK14" s="61">
        <f t="shared" si="10"/>
        <v>27944180.510000002</v>
      </c>
      <c r="AL14" s="445" t="s">
        <v>136</v>
      </c>
      <c r="AM14" s="438">
        <f t="shared" si="11"/>
        <v>-2629000.0299999993</v>
      </c>
      <c r="AN14" s="417"/>
      <c r="AO14" s="448">
        <v>1679254.5</v>
      </c>
      <c r="AT14" s="462"/>
    </row>
    <row r="15" spans="1:46" ht="27" customHeight="1" x14ac:dyDescent="0.25">
      <c r="A15" s="445" t="s">
        <v>138</v>
      </c>
      <c r="B15" s="61">
        <f>'прилож.3-сады'!T70</f>
        <v>29573666.680000003</v>
      </c>
      <c r="C15" s="61">
        <f>'прилож.3-сады'!T85</f>
        <v>245421.75</v>
      </c>
      <c r="D15" s="61">
        <f>'прилож.3-сады'!Q82</f>
        <v>6520172.3599999994</v>
      </c>
      <c r="E15" s="61">
        <f>'прилож.3-сады'!S83</f>
        <v>2166394.08</v>
      </c>
      <c r="F15" s="62">
        <f t="shared" si="12"/>
        <v>38505654.870000005</v>
      </c>
      <c r="G15" s="61">
        <f>'прилож.3-сады'!N70</f>
        <v>15830935.77</v>
      </c>
      <c r="H15" s="61">
        <f>'прилож.3-сады'!N85</f>
        <v>245421.75</v>
      </c>
      <c r="I15" s="61">
        <f>'прилож.3-сады'!O70</f>
        <v>6072308.0299999993</v>
      </c>
      <c r="J15" s="61">
        <f>'прилож.3-сады'!Q70</f>
        <v>7670422.879999999</v>
      </c>
      <c r="K15" s="61">
        <f>'прилож.3-сады'!Q82</f>
        <v>6520172.3599999994</v>
      </c>
      <c r="L15" s="61">
        <f t="shared" si="3"/>
        <v>14190595.239999998</v>
      </c>
      <c r="M15" s="61">
        <f>'прилож.3-сады'!S83</f>
        <v>2166394.08</v>
      </c>
      <c r="N15" s="62">
        <f>G15+H15+I15+L15+M15</f>
        <v>38505654.86999999</v>
      </c>
      <c r="O15" s="61"/>
      <c r="P15" s="61">
        <f t="shared" si="4"/>
        <v>1.0379951153070719</v>
      </c>
      <c r="Q15" s="61">
        <v>0</v>
      </c>
      <c r="R15" s="61">
        <f t="shared" si="13"/>
        <v>1.0962862830922628</v>
      </c>
      <c r="S15" s="61">
        <f t="shared" si="5"/>
        <v>1.3304302610776177</v>
      </c>
      <c r="T15" s="61">
        <f>14897262+1535172</f>
        <v>16432434</v>
      </c>
      <c r="U15" s="61">
        <v>245421.75</v>
      </c>
      <c r="V15" s="61">
        <f>5988888+668100</f>
        <v>6656988</v>
      </c>
      <c r="W15" s="61">
        <f>12485243.92+6394353.41</f>
        <v>18879597.329999998</v>
      </c>
      <c r="X15" s="61">
        <f t="shared" si="6"/>
        <v>10204962.714814132</v>
      </c>
      <c r="Y15" s="446">
        <f t="shared" ref="Y15:Y20" si="14">K15*S15</f>
        <v>8674634.6151858661</v>
      </c>
      <c r="Z15" s="62">
        <f>T15+U15+V15+W15</f>
        <v>42214441.079999998</v>
      </c>
      <c r="AA15" s="61">
        <f>T15+U15+V15+X15</f>
        <v>33539806.464814134</v>
      </c>
      <c r="AB15" s="61">
        <f t="shared" si="9"/>
        <v>8674634.6151858661</v>
      </c>
      <c r="AC15" s="446">
        <f>2105081.04+40875.36</f>
        <v>2145956.4</v>
      </c>
      <c r="AD15" s="61">
        <f>Z15</f>
        <v>42214441.079999998</v>
      </c>
      <c r="AE15" s="61">
        <f>1631026.83+1744050</f>
        <v>3375076.83</v>
      </c>
      <c r="AF15" s="61">
        <f t="shared" si="1"/>
        <v>33294384.714814134</v>
      </c>
      <c r="AG15" s="447" t="e">
        <f>AE15/#REF!</f>
        <v>#REF!</v>
      </c>
      <c r="AH15" s="447">
        <f t="shared" si="2"/>
        <v>1.1258118607703915</v>
      </c>
      <c r="AI15" s="37" t="s">
        <v>138</v>
      </c>
      <c r="AJ15" s="61">
        <f>33371393.92+2987021.08</f>
        <v>36358415</v>
      </c>
      <c r="AK15" s="61">
        <f t="shared" si="10"/>
        <v>36358415</v>
      </c>
      <c r="AL15" s="445" t="s">
        <v>138</v>
      </c>
      <c r="AM15" s="438">
        <f t="shared" si="11"/>
        <v>-4689002.09</v>
      </c>
      <c r="AN15" s="417"/>
      <c r="AO15" s="448">
        <v>1867742.25</v>
      </c>
      <c r="AT15" s="462"/>
    </row>
    <row r="16" spans="1:46" ht="27" customHeight="1" x14ac:dyDescent="0.25">
      <c r="A16" s="445" t="s">
        <v>140</v>
      </c>
      <c r="B16" s="61">
        <f>'прилож.3-сады'!T88</f>
        <v>26818257.800000001</v>
      </c>
      <c r="C16" s="61">
        <v>0</v>
      </c>
      <c r="D16" s="61">
        <f>'прилож.3-сады'!Q98</f>
        <v>5966572.8199999994</v>
      </c>
      <c r="E16" s="61">
        <f>'прилож.3-сады'!S99</f>
        <v>1982454.96</v>
      </c>
      <c r="F16" s="62">
        <f t="shared" si="12"/>
        <v>34767285.579999998</v>
      </c>
      <c r="G16" s="61">
        <f>'прилож.3-сады'!N88</f>
        <v>14384409.510000002</v>
      </c>
      <c r="H16" s="61">
        <v>0</v>
      </c>
      <c r="I16" s="61">
        <f>'прилож.3-сады'!O88</f>
        <v>5414687.7300000004</v>
      </c>
      <c r="J16" s="61">
        <f>'прилож.3-сады'!Q88</f>
        <v>7019160.5599999996</v>
      </c>
      <c r="K16" s="61">
        <f>'прилож.3-сады'!Q98</f>
        <v>5966572.8199999994</v>
      </c>
      <c r="L16" s="61">
        <f t="shared" si="3"/>
        <v>12985733.379999999</v>
      </c>
      <c r="M16" s="61">
        <f>'прилож.3-сады'!S99</f>
        <v>1982454.96</v>
      </c>
      <c r="N16" s="62">
        <f t="shared" ref="N16:N18" si="15">G16+I16+L16+M16</f>
        <v>34767285.579999998</v>
      </c>
      <c r="O16" s="61"/>
      <c r="P16" s="61">
        <f t="shared" si="4"/>
        <v>1.0430898111993474</v>
      </c>
      <c r="Q16" s="61">
        <v>0</v>
      </c>
      <c r="R16" s="61">
        <f t="shared" si="13"/>
        <v>1.1005207127613985</v>
      </c>
      <c r="S16" s="61">
        <f t="shared" si="5"/>
        <v>0.9607359880971158</v>
      </c>
      <c r="T16" s="61">
        <f>13705133+1299098</f>
        <v>15004231</v>
      </c>
      <c r="U16" s="61">
        <v>229949.2</v>
      </c>
      <c r="V16" s="61">
        <f>5432114+526862</f>
        <v>5958976</v>
      </c>
      <c r="W16" s="61">
        <f>10916439.69+1457216.7+102205</f>
        <v>12475861.389999999</v>
      </c>
      <c r="X16" s="61">
        <f t="shared" si="6"/>
        <v>6743560.1562239043</v>
      </c>
      <c r="Y16" s="446">
        <f t="shared" si="14"/>
        <v>5732301.2337760944</v>
      </c>
      <c r="Z16" s="62">
        <f>T16+U16+V16+W16</f>
        <v>33669017.589999996</v>
      </c>
      <c r="AA16" s="61">
        <f t="shared" si="8"/>
        <v>27706767.156223904</v>
      </c>
      <c r="AB16" s="61">
        <f t="shared" si="9"/>
        <v>5732301.2337760944</v>
      </c>
      <c r="AC16" s="446">
        <f>1982454.96-20437.68</f>
        <v>1962017.28</v>
      </c>
      <c r="AD16" s="61">
        <f t="shared" ref="AD16:AD20" si="16">Z16</f>
        <v>33669017.589999996</v>
      </c>
      <c r="AE16" s="61">
        <f>1223824.58+1293600</f>
        <v>2517424.58</v>
      </c>
      <c r="AF16" s="61">
        <f t="shared" si="1"/>
        <v>27706767.156223908</v>
      </c>
      <c r="AG16" s="447" t="e">
        <f>AE16/#REF!</f>
        <v>#REF!</v>
      </c>
      <c r="AH16" s="447">
        <f t="shared" si="2"/>
        <v>1.033130763483969</v>
      </c>
      <c r="AI16" s="37" t="s">
        <v>140</v>
      </c>
      <c r="AJ16" s="61">
        <f>30053686.69-198104.69+295249.57</f>
        <v>30150831.57</v>
      </c>
      <c r="AK16" s="61">
        <v>29855582</v>
      </c>
      <c r="AL16" s="445" t="s">
        <v>140</v>
      </c>
      <c r="AM16" s="438"/>
      <c r="AN16" s="417"/>
      <c r="AO16" s="448">
        <v>1799201.25</v>
      </c>
      <c r="AT16" s="462"/>
    </row>
    <row r="17" spans="1:46" ht="27" customHeight="1" x14ac:dyDescent="0.25">
      <c r="A17" s="445" t="s">
        <v>141</v>
      </c>
      <c r="B17" s="61">
        <f>'прилож.3-сады'!T104</f>
        <v>37553585.114999995</v>
      </c>
      <c r="C17" s="61">
        <f>'прилож.3-сады'!T136</f>
        <v>143052.75</v>
      </c>
      <c r="D17" s="61">
        <f>'прилож.3-сады'!Q133</f>
        <v>6212617.0599999996</v>
      </c>
      <c r="E17" s="61">
        <f>'прилож.3-сады'!S134</f>
        <v>2064205.68</v>
      </c>
      <c r="F17" s="62">
        <f t="shared" si="12"/>
        <v>45973460.604999997</v>
      </c>
      <c r="G17" s="61">
        <f>'прилож.3-сады'!N104</f>
        <v>20228672.599999998</v>
      </c>
      <c r="H17" s="61">
        <f>'прилож.3-сады'!N136</f>
        <v>143052.75</v>
      </c>
      <c r="I17" s="61">
        <f>'прилож.3-сады'!O104</f>
        <v>10016302.035</v>
      </c>
      <c r="J17" s="203">
        <f>'прилож.3-сады'!Q104</f>
        <v>7308610.4799999995</v>
      </c>
      <c r="K17" s="61">
        <f>'прилож.3-сады'!Q133</f>
        <v>6212617.0599999996</v>
      </c>
      <c r="L17" s="61">
        <f t="shared" si="3"/>
        <v>13521227.539999999</v>
      </c>
      <c r="M17" s="61">
        <f>'прилож.3-сады'!S134</f>
        <v>2064205.68</v>
      </c>
      <c r="N17" s="62">
        <f>G17+H17+I17+L17+M17</f>
        <v>45973460.604999997</v>
      </c>
      <c r="O17" s="61"/>
      <c r="P17" s="61">
        <f t="shared" si="4"/>
        <v>1.0519351625672166</v>
      </c>
      <c r="Q17" s="61">
        <v>0</v>
      </c>
      <c r="R17" s="61">
        <f t="shared" si="13"/>
        <v>1.0828672060905959</v>
      </c>
      <c r="S17" s="61">
        <f t="shared" si="5"/>
        <v>1.7593591461740907</v>
      </c>
      <c r="T17" s="61">
        <f>19679259+1599993</f>
        <v>21279252</v>
      </c>
      <c r="U17" s="61">
        <f>143052.75+94084</f>
        <v>237136.75</v>
      </c>
      <c r="V17" s="61">
        <f>9335023+1511302</f>
        <v>10846325</v>
      </c>
      <c r="W17" s="61">
        <f>13260771+10527924.34</f>
        <v>23788695.34</v>
      </c>
      <c r="X17" s="61">
        <f t="shared" si="6"/>
        <v>12858470.69381181</v>
      </c>
      <c r="Y17" s="446">
        <f t="shared" si="14"/>
        <v>10930224.646188188</v>
      </c>
      <c r="Z17" s="62">
        <f>T17+U17+V17+W17</f>
        <v>56151409.090000004</v>
      </c>
      <c r="AA17" s="61">
        <f>T17+U17+V17+X17</f>
        <v>45221184.443811812</v>
      </c>
      <c r="AB17" s="61">
        <f t="shared" si="9"/>
        <v>10930224.646188188</v>
      </c>
      <c r="AC17" s="446">
        <f>2064205.68-224814.48</f>
        <v>1839391.2</v>
      </c>
      <c r="AD17" s="61">
        <f t="shared" si="16"/>
        <v>56151409.090000004</v>
      </c>
      <c r="AE17" s="61">
        <f>2214748.2+2621850</f>
        <v>4836598.2</v>
      </c>
      <c r="AF17" s="61">
        <f t="shared" si="1"/>
        <v>44984047.693811819</v>
      </c>
      <c r="AG17" s="447" t="e">
        <f>AE17/#REF!</f>
        <v>#REF!</v>
      </c>
      <c r="AH17" s="447">
        <f t="shared" si="2"/>
        <v>1.1978629352179715</v>
      </c>
      <c r="AI17" s="37" t="s">
        <v>165</v>
      </c>
      <c r="AJ17" s="61">
        <f>42275053+5779720+112072.94</f>
        <v>48166845.939999998</v>
      </c>
      <c r="AK17" s="61">
        <v>48054773</v>
      </c>
      <c r="AL17" s="445" t="s">
        <v>141</v>
      </c>
      <c r="AM17" s="438">
        <f t="shared" si="11"/>
        <v>-10267467.800000001</v>
      </c>
      <c r="AN17" s="417"/>
      <c r="AO17" s="448">
        <v>1987689</v>
      </c>
      <c r="AT17" s="462"/>
    </row>
    <row r="18" spans="1:46" ht="27" customHeight="1" x14ac:dyDescent="0.25">
      <c r="A18" s="445" t="s">
        <v>142</v>
      </c>
      <c r="B18" s="61">
        <f>'прилож.3-сады'!T145</f>
        <v>34955671.889999993</v>
      </c>
      <c r="C18" s="61">
        <v>0</v>
      </c>
      <c r="D18" s="61">
        <f>'прилож.3-сады'!Q153</f>
        <v>7504351.2399999993</v>
      </c>
      <c r="E18" s="61">
        <f>'прилож.3-сады'!S154</f>
        <v>2493396.96</v>
      </c>
      <c r="F18" s="62">
        <f t="shared" si="12"/>
        <v>44953420.089999996</v>
      </c>
      <c r="G18" s="61">
        <f>'прилож.3-сады'!N145</f>
        <v>18769865.339999996</v>
      </c>
      <c r="H18" s="61">
        <v>0</v>
      </c>
      <c r="I18" s="61">
        <f>'прилож.3-сады'!O145</f>
        <v>7357596.9899999993</v>
      </c>
      <c r="J18" s="61">
        <f>'прилож.3-сады'!Q145</f>
        <v>8828209.5599999987</v>
      </c>
      <c r="K18" s="61">
        <f>'прилож.3-сады'!Q153</f>
        <v>7504351.2399999993</v>
      </c>
      <c r="L18" s="61">
        <f>SUM(J18:K18)</f>
        <v>16332560.799999997</v>
      </c>
      <c r="M18" s="61">
        <f>'прилож.3-сады'!S154</f>
        <v>2493396.96</v>
      </c>
      <c r="N18" s="62">
        <f t="shared" si="15"/>
        <v>44953420.089999996</v>
      </c>
      <c r="O18" s="61"/>
      <c r="P18" s="61">
        <f t="shared" si="4"/>
        <v>0.97786135742197089</v>
      </c>
      <c r="Q18" s="61">
        <v>0</v>
      </c>
      <c r="R18" s="61">
        <f t="shared" si="13"/>
        <v>1.0480045333388124</v>
      </c>
      <c r="S18" s="61">
        <f>W18/L18</f>
        <v>0.86457335888197051</v>
      </c>
      <c r="T18" s="61">
        <f>15059940+3294386</f>
        <v>18354326</v>
      </c>
      <c r="U18" s="61">
        <v>0</v>
      </c>
      <c r="V18" s="61">
        <f>5834989+1875806</f>
        <v>7710795</v>
      </c>
      <c r="W18" s="61">
        <f>12064467.22+2022498.73+33731</f>
        <v>14120696.950000001</v>
      </c>
      <c r="X18" s="61">
        <f t="shared" si="6"/>
        <v>7632634.7922031218</v>
      </c>
      <c r="Y18" s="446">
        <f t="shared" si="14"/>
        <v>6488062.1577968802</v>
      </c>
      <c r="Z18" s="62">
        <f t="shared" si="7"/>
        <v>40185817.950000003</v>
      </c>
      <c r="AA18" s="61">
        <f t="shared" si="8"/>
        <v>33697755.792203121</v>
      </c>
      <c r="AB18" s="61">
        <f t="shared" si="9"/>
        <v>6488062.1577968802</v>
      </c>
      <c r="AC18" s="446">
        <f>2432083.92+20437.68</f>
        <v>2452521.6</v>
      </c>
      <c r="AD18" s="61">
        <f t="shared" si="16"/>
        <v>40185817.950000003</v>
      </c>
      <c r="AE18" s="61">
        <f>1343296.5+1570800</f>
        <v>2914096.5</v>
      </c>
      <c r="AF18" s="61">
        <f t="shared" si="1"/>
        <v>33697755.792203121</v>
      </c>
      <c r="AG18" s="447" t="e">
        <f>AE18/#REF!</f>
        <v>#REF!</v>
      </c>
      <c r="AH18" s="447">
        <f t="shared" si="2"/>
        <v>0.96401396312005283</v>
      </c>
      <c r="AI18" s="37" t="s">
        <v>142</v>
      </c>
      <c r="AJ18" s="61">
        <f>32959396.22-161705.72</f>
        <v>32797690.5</v>
      </c>
      <c r="AK18" s="61">
        <f t="shared" si="10"/>
        <v>32797690.5</v>
      </c>
      <c r="AL18" s="445" t="s">
        <v>142</v>
      </c>
      <c r="AM18" s="438"/>
      <c r="AN18" s="417"/>
      <c r="AO18" s="448">
        <v>2159041.5</v>
      </c>
      <c r="AT18" s="462"/>
    </row>
    <row r="19" spans="1:46" ht="27" customHeight="1" x14ac:dyDescent="0.25">
      <c r="A19" s="445" t="s">
        <v>143</v>
      </c>
      <c r="B19" s="61">
        <f>'прилож.3-сады'!T156</f>
        <v>35551985.565000005</v>
      </c>
      <c r="C19" s="61">
        <f>'прилож.3-сады'!T168</f>
        <v>204450.15</v>
      </c>
      <c r="D19" s="61">
        <f>'прилож.3-сады'!Q165</f>
        <v>7565860.3799999999</v>
      </c>
      <c r="E19" s="61">
        <f>'прилож.3-сады'!S166</f>
        <v>2513834.64</v>
      </c>
      <c r="F19" s="62">
        <f>SUM(B19:E19)</f>
        <v>45836130.735000007</v>
      </c>
      <c r="G19" s="61">
        <f>'прилож.3-сады'!N156</f>
        <v>18468595.869999997</v>
      </c>
      <c r="H19" s="61">
        <f>'прилож.3-сады'!N168</f>
        <v>204450.15</v>
      </c>
      <c r="I19" s="61">
        <f>'прилож.3-сады'!O156</f>
        <v>8182820.6549999993</v>
      </c>
      <c r="J19" s="61">
        <f>'прилож.3-сады'!Q156</f>
        <v>8900569.040000001</v>
      </c>
      <c r="K19" s="61">
        <f>'прилож.3-сады'!Q165</f>
        <v>7565860.3799999999</v>
      </c>
      <c r="L19" s="61">
        <f t="shared" si="3"/>
        <v>16466429.420000002</v>
      </c>
      <c r="M19" s="61">
        <f>'прилож.3-сады'!S166</f>
        <v>2513834.64</v>
      </c>
      <c r="N19" s="62">
        <f>G19+H19+I19+L19+M19</f>
        <v>45836130.734999999</v>
      </c>
      <c r="O19" s="61"/>
      <c r="P19" s="61">
        <f t="shared" si="4"/>
        <v>1.0417699935301039</v>
      </c>
      <c r="Q19" s="61">
        <v>0</v>
      </c>
      <c r="R19" s="61">
        <f t="shared" si="13"/>
        <v>1.0945668220807414</v>
      </c>
      <c r="S19" s="61">
        <f t="shared" si="5"/>
        <v>1.1085517409031591</v>
      </c>
      <c r="T19" s="61">
        <f>17539967+1700062</f>
        <v>19240029</v>
      </c>
      <c r="U19" s="61">
        <f>204450.15+131646.2</f>
        <v>336096.35</v>
      </c>
      <c r="V19" s="61">
        <f>8012270+944374</f>
        <v>8956644</v>
      </c>
      <c r="W19" s="61">
        <f>15663255+2571634+19000</f>
        <v>18253889</v>
      </c>
      <c r="X19" s="61">
        <f t="shared" si="6"/>
        <v>9866741.3043207601</v>
      </c>
      <c r="Y19" s="446">
        <f t="shared" si="14"/>
        <v>8387147.6956792371</v>
      </c>
      <c r="Z19" s="62">
        <f>T19+U19+V19+W19</f>
        <v>46786658.350000001</v>
      </c>
      <c r="AA19" s="61">
        <f>T19+U19+V19+X19</f>
        <v>38399510.654320762</v>
      </c>
      <c r="AB19" s="61">
        <f t="shared" si="9"/>
        <v>8387147.6956792371</v>
      </c>
      <c r="AC19" s="446">
        <f>2513834.64-20437.68</f>
        <v>2493396.96</v>
      </c>
      <c r="AD19" s="61">
        <f t="shared" si="16"/>
        <v>46786658.350000001</v>
      </c>
      <c r="AE19" s="61">
        <f>1403294.08+1593900</f>
        <v>2997194.08</v>
      </c>
      <c r="AF19" s="61">
        <f t="shared" si="1"/>
        <v>38063414.30432076</v>
      </c>
      <c r="AG19" s="447" t="e">
        <f>AE19/#REF!</f>
        <v>#REF!</v>
      </c>
      <c r="AH19" s="447">
        <f t="shared" si="2"/>
        <v>1.0706410260751567</v>
      </c>
      <c r="AI19" s="37" t="s">
        <v>143</v>
      </c>
      <c r="AJ19" s="61">
        <f>41215492-204503+164180.78</f>
        <v>41175169.780000001</v>
      </c>
      <c r="AK19" s="61">
        <v>41010989</v>
      </c>
      <c r="AL19" s="445" t="s">
        <v>143</v>
      </c>
      <c r="AM19" s="438"/>
      <c r="AO19" s="448">
        <v>2193312</v>
      </c>
      <c r="AT19" s="462"/>
    </row>
    <row r="20" spans="1:46" ht="27" customHeight="1" x14ac:dyDescent="0.25">
      <c r="A20" s="445" t="s">
        <v>166</v>
      </c>
      <c r="B20" s="61">
        <f>'прилож.3-сады'!T174</f>
        <v>54787261.359999999</v>
      </c>
      <c r="C20" s="61">
        <f>'прилож.3-сады'!T188</f>
        <v>240075.35</v>
      </c>
      <c r="D20" s="61">
        <f>'прилож.3-сады'!Q185</f>
        <v>11195012.92</v>
      </c>
      <c r="E20" s="61">
        <f>'прилож.3-сады'!S186</f>
        <v>3719657.7600000002</v>
      </c>
      <c r="F20" s="62">
        <f>SUM(B20:E20)</f>
        <v>69942007.390000001</v>
      </c>
      <c r="G20" s="61">
        <f>'прилож.3-сады'!N174</f>
        <v>29867427.589999996</v>
      </c>
      <c r="H20" s="61">
        <f>'прилож.3-сады'!N188</f>
        <v>240075.35</v>
      </c>
      <c r="I20" s="61">
        <f>'прилож.3-сады'!O174</f>
        <v>11749862.410000002</v>
      </c>
      <c r="J20" s="61">
        <f>'прилож.3-сады'!Q174</f>
        <v>13169971.359999999</v>
      </c>
      <c r="K20" s="61">
        <f>'прилож.3-сады'!Q185</f>
        <v>11195012.92</v>
      </c>
      <c r="L20" s="61">
        <f t="shared" si="3"/>
        <v>24364984.280000001</v>
      </c>
      <c r="M20" s="61">
        <f>'прилож.3-сады'!S186</f>
        <v>3719657.7600000002</v>
      </c>
      <c r="N20" s="62">
        <f>G20+H20+I20+L20+M20</f>
        <v>69942007.390000001</v>
      </c>
      <c r="O20" s="61"/>
      <c r="P20" s="61">
        <f t="shared" si="4"/>
        <v>1.0269229215531515</v>
      </c>
      <c r="Q20" s="61">
        <v>0</v>
      </c>
      <c r="R20" s="61">
        <f t="shared" si="13"/>
        <v>1.0888397288049603</v>
      </c>
      <c r="S20" s="61">
        <f t="shared" si="5"/>
        <v>1.1194133879408357</v>
      </c>
      <c r="T20" s="61">
        <f>27340094+3331452</f>
        <v>30671546</v>
      </c>
      <c r="U20" s="61">
        <f>231745.35+8330+230820.4</f>
        <v>470895.75</v>
      </c>
      <c r="V20" s="61">
        <f>11236879+1556838</f>
        <v>12793717</v>
      </c>
      <c r="W20" s="61">
        <f>22766703.2+4395536.4+112250</f>
        <v>27274489.600000001</v>
      </c>
      <c r="X20" s="61">
        <f t="shared" si="6"/>
        <v>14742642.259181375</v>
      </c>
      <c r="Y20" s="446">
        <f t="shared" si="14"/>
        <v>12531847.340818627</v>
      </c>
      <c r="Z20" s="62">
        <f>T20+U20+V20+W20</f>
        <v>71210648.349999994</v>
      </c>
      <c r="AA20" s="61">
        <f>T20+U20+V20+X20</f>
        <v>58678801.009181373</v>
      </c>
      <c r="AB20" s="61">
        <f t="shared" si="9"/>
        <v>12531847.340818627</v>
      </c>
      <c r="AC20" s="446">
        <f>3597031.68+102188.4</f>
        <v>3699220.08</v>
      </c>
      <c r="AD20" s="61">
        <f t="shared" si="16"/>
        <v>71210648.349999994</v>
      </c>
      <c r="AE20" s="61">
        <f>2304254.93+89977.11+2772000</f>
        <v>5166232.04</v>
      </c>
      <c r="AF20" s="61">
        <f t="shared" si="1"/>
        <v>58207905.259181365</v>
      </c>
      <c r="AG20" s="447" t="e">
        <f>AE20/#REF!</f>
        <v>#REF!</v>
      </c>
      <c r="AH20" s="447">
        <f t="shared" si="2"/>
        <v>1.0624350225630874</v>
      </c>
      <c r="AI20" s="37" t="s">
        <v>166</v>
      </c>
      <c r="AJ20" s="61">
        <f>61343676.2+319759.14</f>
        <v>61663435.340000004</v>
      </c>
      <c r="AK20" s="61">
        <v>61343676.200000003</v>
      </c>
      <c r="AL20" s="445" t="s">
        <v>166</v>
      </c>
      <c r="AM20" s="438">
        <f t="shared" si="11"/>
        <v>-2909505.3200000003</v>
      </c>
      <c r="AO20" s="448">
        <v>3152886</v>
      </c>
      <c r="AT20" s="462"/>
    </row>
    <row r="21" spans="1:46" ht="27" customHeight="1" x14ac:dyDescent="0.25">
      <c r="A21" s="10" t="s">
        <v>113</v>
      </c>
      <c r="B21" s="62">
        <f t="shared" ref="B21:O21" si="17">SUM(B11:B20)</f>
        <v>328519381.25999999</v>
      </c>
      <c r="C21" s="62">
        <f>C15+C17+C19+C20</f>
        <v>833000</v>
      </c>
      <c r="D21" s="62">
        <f t="shared" si="17"/>
        <v>73786475.820000008</v>
      </c>
      <c r="E21" s="62">
        <f t="shared" si="17"/>
        <v>22031819.040000003</v>
      </c>
      <c r="F21" s="62">
        <f t="shared" si="17"/>
        <v>425170676.12</v>
      </c>
      <c r="G21" s="62">
        <f t="shared" si="17"/>
        <v>174657302.31999999</v>
      </c>
      <c r="H21" s="62">
        <f>H15+H17+H19+H20</f>
        <v>833000</v>
      </c>
      <c r="I21" s="62">
        <f t="shared" si="17"/>
        <v>72109218.390000001</v>
      </c>
      <c r="J21" s="62">
        <f>SUM(J11:J20)</f>
        <v>81752860.549999997</v>
      </c>
      <c r="K21" s="62">
        <f t="shared" si="17"/>
        <v>73786475.820000008</v>
      </c>
      <c r="L21" s="62">
        <f>SUM(J21:K21)</f>
        <v>155539336.37</v>
      </c>
      <c r="M21" s="62">
        <f t="shared" si="17"/>
        <v>22031819.040000003</v>
      </c>
      <c r="N21" s="62">
        <f>G21+H21+I21+L21+M21</f>
        <v>425170676.12</v>
      </c>
      <c r="O21" s="61">
        <f t="shared" si="17"/>
        <v>0</v>
      </c>
      <c r="P21" s="61">
        <f t="shared" si="4"/>
        <v>1.0365240822757718</v>
      </c>
      <c r="Q21" s="61">
        <v>0</v>
      </c>
      <c r="R21" s="61">
        <f t="shared" si="13"/>
        <v>1.0877251862000108</v>
      </c>
      <c r="S21" s="61">
        <f t="shared" si="5"/>
        <v>1.1813156424488864</v>
      </c>
      <c r="T21" s="62">
        <f t="shared" ref="T21:AD21" si="18">SUM(T11:T20)</f>
        <v>181036500</v>
      </c>
      <c r="U21" s="62">
        <f>U11+U15+U16+U17+U19+U20</f>
        <v>1782209</v>
      </c>
      <c r="V21" s="62">
        <f t="shared" si="18"/>
        <v>78435013</v>
      </c>
      <c r="W21" s="62">
        <f>SUM(W11:W20)</f>
        <v>183741051.06999999</v>
      </c>
      <c r="X21" s="62">
        <f t="shared" si="18"/>
        <v>97039441.839349747</v>
      </c>
      <c r="Y21" s="449">
        <f t="shared" si="18"/>
        <v>86701609.230650261</v>
      </c>
      <c r="Z21" s="62">
        <f t="shared" si="18"/>
        <v>444994773.07000005</v>
      </c>
      <c r="AA21" s="62">
        <f t="shared" si="18"/>
        <v>357800505.43934971</v>
      </c>
      <c r="AB21" s="62">
        <f t="shared" si="18"/>
        <v>86701609.230650261</v>
      </c>
      <c r="AC21" s="449">
        <f t="shared" si="18"/>
        <v>21520877.039999999</v>
      </c>
      <c r="AD21" s="62">
        <f t="shared" si="18"/>
        <v>444994773.07000005</v>
      </c>
      <c r="AE21" s="62" t="e">
        <f>O21-N21-#REF!</f>
        <v>#REF!</v>
      </c>
      <c r="AF21" s="62" t="e">
        <f>#REF!-O21-#REF!</f>
        <v>#REF!</v>
      </c>
      <c r="AG21" s="62" t="e">
        <f>#REF!-#REF!-T21</f>
        <v>#REF!</v>
      </c>
      <c r="AH21" s="62" t="e">
        <f>T21-#REF!-V21</f>
        <v>#REF!</v>
      </c>
      <c r="AI21" s="62">
        <f>V21-T21-W21</f>
        <v>-286342538.06999999</v>
      </c>
      <c r="AJ21" s="62">
        <f>SUM(AJ11:AJ20)</f>
        <v>384887090.42999995</v>
      </c>
      <c r="AK21" s="62">
        <f>SUM(AK11:AK20)</f>
        <v>383700578.43000001</v>
      </c>
      <c r="AL21" s="10" t="s">
        <v>113</v>
      </c>
      <c r="AM21" s="438">
        <f>SUM(AM11:AM20)</f>
        <v>-29135990.959999993</v>
      </c>
      <c r="AO21" s="450">
        <f t="shared" ref="AO21" si="19">SUM(AO11:AO20)</f>
        <v>19362832.5</v>
      </c>
      <c r="AT21" s="451"/>
    </row>
    <row r="22" spans="1:46" x14ac:dyDescent="0.25">
      <c r="Z22" s="417"/>
      <c r="AA22" s="417"/>
      <c r="AB22" s="417"/>
      <c r="AC22" s="417"/>
    </row>
    <row r="23" spans="1:46" hidden="1" x14ac:dyDescent="0.25">
      <c r="W23" s="417">
        <v>9093938.6199999992</v>
      </c>
      <c r="Z23" s="417"/>
      <c r="AA23" s="417"/>
      <c r="AB23" s="417"/>
      <c r="AC23" s="417"/>
      <c r="AD23" s="417"/>
    </row>
    <row r="24" spans="1:46" hidden="1" x14ac:dyDescent="0.25">
      <c r="W24" s="417">
        <f>W21+W23</f>
        <v>192834989.69</v>
      </c>
      <c r="Z24" s="417"/>
      <c r="AA24" s="417"/>
      <c r="AB24" s="417"/>
      <c r="AC24" s="417"/>
    </row>
    <row r="25" spans="1:46" hidden="1" x14ac:dyDescent="0.25">
      <c r="G25" s="417"/>
      <c r="L25" s="417"/>
      <c r="N25" s="417">
        <f>G21+I21+L21+M21</f>
        <v>424337676.12</v>
      </c>
      <c r="W25" s="417"/>
      <c r="Z25" s="417"/>
      <c r="AA25" s="417"/>
      <c r="AB25" s="417"/>
      <c r="AC25" s="417"/>
    </row>
    <row r="26" spans="1:46" hidden="1" x14ac:dyDescent="0.25">
      <c r="I26" s="417"/>
      <c r="L26" s="417"/>
      <c r="N26" s="417"/>
      <c r="V26" s="417"/>
      <c r="W26" s="417"/>
      <c r="Z26" s="417">
        <f>Z21-N21</f>
        <v>19824096.950000048</v>
      </c>
      <c r="AA26" s="417"/>
      <c r="AB26" s="417"/>
      <c r="AC26" s="417"/>
    </row>
    <row r="27" spans="1:46" hidden="1" x14ac:dyDescent="0.25">
      <c r="I27" s="417"/>
      <c r="N27" s="417">
        <f>G21+I21+J21</f>
        <v>328519381.25999999</v>
      </c>
      <c r="Z27" s="417"/>
      <c r="AA27" s="417"/>
      <c r="AB27" s="417"/>
      <c r="AC27" s="417"/>
    </row>
    <row r="28" spans="1:46" hidden="1" x14ac:dyDescent="0.25">
      <c r="I28" s="417"/>
      <c r="Z28" s="417"/>
      <c r="AA28" s="417"/>
      <c r="AB28" s="417"/>
      <c r="AC28" s="417"/>
    </row>
    <row r="29" spans="1:46" x14ac:dyDescent="0.25">
      <c r="Z29" s="417"/>
      <c r="AA29" s="417"/>
      <c r="AB29" s="417"/>
      <c r="AC29" s="417"/>
    </row>
    <row r="30" spans="1:46" x14ac:dyDescent="0.25">
      <c r="G30" s="417"/>
      <c r="H30" s="417"/>
      <c r="I30" s="417"/>
      <c r="Z30" s="417"/>
      <c r="AA30" s="417"/>
      <c r="AB30" s="417"/>
      <c r="AC30" s="417"/>
    </row>
    <row r="31" spans="1:46" x14ac:dyDescent="0.25">
      <c r="I31" s="417"/>
      <c r="J31" s="441"/>
      <c r="W31" s="441"/>
      <c r="X31" s="441"/>
    </row>
    <row r="32" spans="1:46" x14ac:dyDescent="0.25">
      <c r="A32" s="183" t="s">
        <v>78</v>
      </c>
      <c r="I32" s="417"/>
    </row>
    <row r="33" spans="4:37" hidden="1" x14ac:dyDescent="0.25">
      <c r="J33" s="463">
        <f>J21+K21</f>
        <v>155539336.37</v>
      </c>
      <c r="K33" s="463"/>
      <c r="L33" s="464"/>
      <c r="N33" s="417"/>
      <c r="W33" s="463">
        <f>W21+Y21</f>
        <v>270442660.30065024</v>
      </c>
      <c r="X33" s="463"/>
      <c r="Y33" s="463"/>
    </row>
    <row r="34" spans="4:37" x14ac:dyDescent="0.25">
      <c r="I34" s="417"/>
      <c r="K34" s="417"/>
      <c r="L34" s="417"/>
      <c r="AJ34" s="417"/>
      <c r="AK34" s="417"/>
    </row>
    <row r="36" spans="4:37" x14ac:dyDescent="0.25">
      <c r="D36" s="417"/>
      <c r="J36" s="417"/>
      <c r="N36" s="417"/>
    </row>
    <row r="39" spans="4:37" x14ac:dyDescent="0.25">
      <c r="J39" s="417"/>
    </row>
  </sheetData>
  <mergeCells count="28">
    <mergeCell ref="AF7:AF9"/>
    <mergeCell ref="AC7:AC9"/>
    <mergeCell ref="AB2:AC2"/>
    <mergeCell ref="AB3:AC3"/>
    <mergeCell ref="J33:K33"/>
    <mergeCell ref="W33:Y33"/>
    <mergeCell ref="AL7:AL9"/>
    <mergeCell ref="AD4:AJ4"/>
    <mergeCell ref="A5:Y5"/>
    <mergeCell ref="A6:E6"/>
    <mergeCell ref="A7:A9"/>
    <mergeCell ref="F7:F9"/>
    <mergeCell ref="AE7:AE9"/>
    <mergeCell ref="J8:M8"/>
    <mergeCell ref="AI7:AI9"/>
    <mergeCell ref="AA8:AB8"/>
    <mergeCell ref="Z8:Z9"/>
    <mergeCell ref="AG7:AG9"/>
    <mergeCell ref="AH7:AH9"/>
    <mergeCell ref="X8:Y8"/>
    <mergeCell ref="W8:W9"/>
    <mergeCell ref="T8:T9"/>
    <mergeCell ref="B7:E7"/>
    <mergeCell ref="G7:N7"/>
    <mergeCell ref="G8:I8"/>
    <mergeCell ref="P7:S7"/>
    <mergeCell ref="T7:AB7"/>
    <mergeCell ref="V8:V9"/>
  </mergeCells>
  <pageMargins left="0" right="0" top="0.55118110236220474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66"/>
  <sheetViews>
    <sheetView workbookViewId="0">
      <selection sqref="A1:XFD1048576"/>
    </sheetView>
  </sheetViews>
  <sheetFormatPr defaultColWidth="9.140625" defaultRowHeight="15" x14ac:dyDescent="0.25"/>
  <cols>
    <col min="1" max="1" width="14" style="1" customWidth="1"/>
    <col min="2" max="2" width="22.28515625" style="1" customWidth="1"/>
    <col min="3" max="3" width="9" style="1" customWidth="1"/>
    <col min="4" max="4" width="11.140625" style="1" customWidth="1"/>
    <col min="5" max="5" width="18.28515625" style="1" hidden="1" customWidth="1"/>
    <col min="6" max="6" width="13.28515625" style="1" hidden="1" customWidth="1"/>
    <col min="7" max="7" width="11.140625" style="1" customWidth="1"/>
    <col min="8" max="8" width="11.42578125" style="1" customWidth="1"/>
    <col min="9" max="9" width="9.5703125" style="1" customWidth="1"/>
    <col min="10" max="10" width="13.28515625" style="1" customWidth="1"/>
    <col min="11" max="11" width="9.7109375" style="1" customWidth="1"/>
    <col min="12" max="12" width="13.42578125" style="1" customWidth="1"/>
    <col min="13" max="13" width="10.140625" style="1" customWidth="1"/>
    <col min="14" max="14" width="13.5703125" style="1" customWidth="1"/>
    <col min="15" max="15" width="3.7109375" style="1" customWidth="1"/>
    <col min="16" max="16" width="3.42578125" style="1" customWidth="1"/>
    <col min="17" max="17" width="5.7109375" style="1" hidden="1" customWidth="1"/>
    <col min="18" max="18" width="8.7109375" style="1" hidden="1" customWidth="1"/>
    <col min="19" max="19" width="8" style="1" hidden="1" customWidth="1"/>
    <col min="20" max="20" width="10.85546875" style="1" hidden="1" customWidth="1"/>
    <col min="21" max="21" width="5.7109375" style="1" hidden="1" customWidth="1"/>
    <col min="22" max="22" width="8.28515625" style="1" hidden="1" customWidth="1"/>
    <col min="23" max="23" width="11.28515625" style="1" hidden="1" customWidth="1"/>
    <col min="24" max="26" width="10.85546875" style="1" hidden="1" customWidth="1"/>
    <col min="27" max="31" width="10.85546875" style="1" customWidth="1"/>
    <col min="32" max="32" width="6.28515625" style="1" customWidth="1"/>
    <col min="33" max="43" width="5.7109375" style="1" customWidth="1"/>
    <col min="44" max="44" width="7.28515625" style="1" hidden="1" customWidth="1"/>
    <col min="45" max="45" width="9.42578125" style="1" hidden="1" customWidth="1"/>
    <col min="46" max="46" width="9.85546875" style="1" hidden="1" customWidth="1"/>
    <col min="47" max="47" width="13.28515625" style="1" hidden="1" customWidth="1"/>
    <col min="48" max="48" width="5.28515625" style="1" hidden="1" customWidth="1"/>
    <col min="49" max="49" width="9.140625" style="1" hidden="1" customWidth="1"/>
    <col min="50" max="50" width="11.28515625" style="1" hidden="1" customWidth="1"/>
    <col min="51" max="51" width="12.5703125" style="1" hidden="1" customWidth="1"/>
    <col min="52" max="52" width="5.28515625" style="1" hidden="1" customWidth="1"/>
    <col min="53" max="53" width="8.85546875" style="1" hidden="1" customWidth="1"/>
    <col min="54" max="55" width="12.7109375" style="1" hidden="1" customWidth="1"/>
    <col min="56" max="57" width="5.28515625" style="1" hidden="1" customWidth="1"/>
    <col min="58" max="58" width="12" style="1" hidden="1" customWidth="1"/>
    <col min="59" max="59" width="10.5703125" style="1" hidden="1" customWidth="1"/>
    <col min="60" max="60" width="11.28515625" style="1" hidden="1" customWidth="1"/>
    <col min="61" max="61" width="10.28515625" style="1" hidden="1" customWidth="1"/>
    <col min="62" max="62" width="10.5703125" style="1" hidden="1" customWidth="1"/>
    <col min="63" max="63" width="13.140625" style="1" hidden="1" customWidth="1"/>
    <col min="64" max="64" width="11.140625" style="1" hidden="1" customWidth="1"/>
    <col min="65" max="65" width="10.7109375" style="1" hidden="1" customWidth="1"/>
    <col min="66" max="66" width="12.28515625" style="1" hidden="1" customWidth="1"/>
    <col min="67" max="67" width="5.5703125" style="1" hidden="1" customWidth="1"/>
    <col min="68" max="68" width="9" style="1" hidden="1" customWidth="1"/>
    <col min="69" max="69" width="12.28515625" style="1" hidden="1" customWidth="1"/>
    <col min="70" max="70" width="10.42578125" style="1" hidden="1" customWidth="1"/>
    <col min="71" max="71" width="11.7109375" style="1" hidden="1" customWidth="1"/>
    <col min="72" max="72" width="9.28515625" style="1" hidden="1" customWidth="1"/>
    <col min="73" max="73" width="11.7109375" style="1" hidden="1" customWidth="1"/>
    <col min="74" max="74" width="9.140625" style="1" hidden="1" customWidth="1"/>
    <col min="75" max="75" width="12.85546875" style="1" hidden="1" customWidth="1"/>
    <col min="76" max="76" width="10.28515625" style="1" hidden="1" customWidth="1"/>
    <col min="77" max="77" width="11.85546875" style="1" hidden="1" customWidth="1"/>
    <col min="78" max="78" width="10.7109375" style="1" hidden="1" customWidth="1"/>
    <col min="79" max="79" width="13" style="1" hidden="1" customWidth="1"/>
    <col min="80" max="80" width="8.7109375" style="1" hidden="1" customWidth="1"/>
    <col min="81" max="81" width="4.7109375" style="1" hidden="1" customWidth="1"/>
    <col min="82" max="82" width="10.42578125" style="1" hidden="1" customWidth="1"/>
    <col min="83" max="83" width="10.140625" style="1" hidden="1" customWidth="1"/>
    <col min="84" max="84" width="14" style="1" hidden="1" customWidth="1"/>
    <col min="85" max="85" width="6.7109375" style="1" hidden="1" customWidth="1"/>
    <col min="86" max="86" width="8.42578125" style="1" hidden="1" customWidth="1"/>
    <col min="87" max="87" width="8.85546875" style="1" hidden="1" customWidth="1"/>
    <col min="88" max="88" width="10.28515625" style="1" hidden="1" customWidth="1"/>
    <col min="89" max="89" width="5.28515625" style="1" hidden="1" customWidth="1"/>
    <col min="90" max="90" width="7.28515625" style="1" hidden="1" customWidth="1"/>
    <col min="91" max="91" width="9" style="1" hidden="1" customWidth="1"/>
    <col min="92" max="92" width="11.28515625" style="1" hidden="1" customWidth="1"/>
    <col min="93" max="93" width="5.28515625" style="1" hidden="1" customWidth="1"/>
    <col min="94" max="94" width="12.5703125" style="1" hidden="1" customWidth="1"/>
    <col min="95" max="95" width="10.7109375" style="1" hidden="1" customWidth="1"/>
    <col min="96" max="96" width="11.85546875" style="1" hidden="1" customWidth="1"/>
    <col min="97" max="97" width="7.85546875" style="1" hidden="1" customWidth="1"/>
    <col min="98" max="98" width="4" style="1" hidden="1" customWidth="1"/>
    <col min="99" max="99" width="11.85546875" style="1" hidden="1" customWidth="1"/>
    <col min="100" max="100" width="10.5703125" style="1" hidden="1" customWidth="1"/>
    <col min="101" max="101" width="12.28515625" style="1" hidden="1" customWidth="1"/>
    <col min="102" max="102" width="6.7109375" style="1" hidden="1" customWidth="1"/>
    <col min="103" max="103" width="6.5703125" style="1" customWidth="1"/>
    <col min="104" max="104" width="9.85546875" style="1" hidden="1" customWidth="1"/>
    <col min="105" max="105" width="8" style="1" hidden="1" customWidth="1"/>
    <col min="106" max="106" width="11.7109375" style="1" hidden="1" customWidth="1"/>
    <col min="107" max="107" width="3.7109375" style="1" hidden="1" customWidth="1"/>
    <col min="108" max="108" width="4.85546875" style="1" hidden="1" customWidth="1"/>
    <col min="109" max="109" width="14.140625" style="1" hidden="1" customWidth="1"/>
    <col min="110" max="110" width="13" style="1" hidden="1" customWidth="1"/>
    <col min="111" max="111" width="10.85546875" style="1" hidden="1" customWidth="1"/>
    <col min="112" max="112" width="11.42578125" style="1" hidden="1" customWidth="1"/>
    <col min="113" max="113" width="5.28515625" style="1" hidden="1" customWidth="1"/>
    <col min="114" max="114" width="11.7109375" style="1" hidden="1" customWidth="1"/>
    <col min="115" max="115" width="12.28515625" style="1" hidden="1" customWidth="1"/>
    <col min="116" max="116" width="10" style="1" hidden="1" customWidth="1"/>
    <col min="117" max="117" width="15.7109375" style="1" hidden="1" customWidth="1"/>
    <col min="118" max="118" width="15.28515625" style="1" hidden="1" customWidth="1"/>
    <col min="119" max="120" width="12.28515625" style="1" hidden="1" customWidth="1"/>
    <col min="121" max="121" width="12.42578125" style="1" hidden="1" customWidth="1"/>
    <col min="122" max="122" width="25.85546875" style="1" hidden="1" customWidth="1"/>
    <col min="123" max="123" width="13.5703125" style="1" hidden="1" customWidth="1"/>
    <col min="124" max="124" width="10.5703125" style="1" hidden="1" customWidth="1"/>
    <col min="125" max="125" width="9.85546875" style="1" hidden="1" customWidth="1"/>
    <col min="126" max="126" width="9" style="1" hidden="1" customWidth="1"/>
    <col min="127" max="127" width="11.28515625" style="1" hidden="1" customWidth="1"/>
    <col min="128" max="128" width="10.140625" style="1" hidden="1" customWidth="1"/>
    <col min="129" max="129" width="15.42578125" style="1" hidden="1" customWidth="1"/>
    <col min="130" max="130" width="7.85546875" style="1" hidden="1" customWidth="1"/>
    <col min="131" max="131" width="12.28515625" style="1" hidden="1" customWidth="1"/>
    <col min="132" max="132" width="13.28515625" style="1" hidden="1" customWidth="1"/>
    <col min="133" max="133" width="12.28515625" style="1" hidden="1" customWidth="1"/>
    <col min="134" max="134" width="11.42578125" style="1" hidden="1" customWidth="1"/>
    <col min="135" max="135" width="17" style="1" hidden="1" customWidth="1"/>
    <col min="136" max="136" width="11.140625" style="1" hidden="1" customWidth="1"/>
    <col min="137" max="139" width="10.28515625" style="1" hidden="1" customWidth="1"/>
    <col min="140" max="140" width="9.7109375" style="1" hidden="1" customWidth="1"/>
    <col min="141" max="141" width="9.42578125" style="1" hidden="1" customWidth="1"/>
    <col min="142" max="142" width="3.7109375" style="1" hidden="1" customWidth="1"/>
    <col min="143" max="143" width="12.7109375" style="1" hidden="1" customWidth="1"/>
    <col min="144" max="144" width="11.7109375" style="1" hidden="1" customWidth="1"/>
    <col min="145" max="147" width="10.28515625" style="1" hidden="1" customWidth="1"/>
    <col min="148" max="148" width="11" style="1" hidden="1" customWidth="1"/>
    <col min="149" max="149" width="10.28515625" style="1" hidden="1" customWidth="1"/>
    <col min="150" max="150" width="9.85546875" style="1" hidden="1" customWidth="1"/>
    <col min="151" max="151" width="10.28515625" style="1" hidden="1" customWidth="1"/>
    <col min="152" max="152" width="9.85546875" style="1" hidden="1" customWidth="1"/>
    <col min="153" max="153" width="3.85546875" style="1" hidden="1" customWidth="1"/>
    <col min="154" max="154" width="14.7109375" style="1" hidden="1" customWidth="1"/>
    <col min="155" max="155" width="12.5703125" style="1" hidden="1" customWidth="1"/>
    <col min="156" max="164" width="9.85546875" style="1" hidden="1" customWidth="1"/>
    <col min="165" max="165" width="3.5703125" style="1" hidden="1" customWidth="1"/>
    <col min="166" max="166" width="13.85546875" style="1" hidden="1" customWidth="1"/>
    <col min="167" max="167" width="13.7109375" style="1" hidden="1" customWidth="1"/>
    <col min="168" max="168" width="10" style="1" hidden="1" customWidth="1"/>
    <col min="169" max="169" width="9.7109375" style="1" hidden="1" customWidth="1"/>
    <col min="170" max="170" width="9.85546875" style="1" hidden="1" customWidth="1"/>
    <col min="171" max="171" width="11.28515625" style="1" hidden="1" customWidth="1"/>
    <col min="172" max="172" width="10.140625" style="1" hidden="1" customWidth="1"/>
    <col min="173" max="173" width="11.28515625" style="1" hidden="1" customWidth="1"/>
    <col min="174" max="174" width="9.28515625" style="1" hidden="1" customWidth="1"/>
    <col min="175" max="175" width="9.85546875" style="1" hidden="1" customWidth="1"/>
    <col min="176" max="176" width="8.42578125" style="1" hidden="1" customWidth="1"/>
    <col min="177" max="177" width="7.7109375" style="1" hidden="1" customWidth="1"/>
    <col min="178" max="178" width="11.28515625" style="1" hidden="1" customWidth="1"/>
    <col min="179" max="179" width="10.140625" style="1" hidden="1" customWidth="1"/>
    <col min="180" max="180" width="9.85546875" style="1" hidden="1" customWidth="1"/>
    <col min="181" max="181" width="10.85546875" style="1" hidden="1" customWidth="1"/>
    <col min="182" max="182" width="12.28515625" style="1" hidden="1" customWidth="1"/>
    <col min="183" max="183" width="11" style="1" hidden="1" customWidth="1"/>
    <col min="184" max="184" width="12.42578125" style="1" hidden="1" customWidth="1"/>
    <col min="185" max="185" width="12.7109375" style="1" hidden="1" customWidth="1"/>
    <col min="186" max="186" width="10.28515625" style="1" customWidth="1"/>
    <col min="187" max="189" width="9.85546875" style="1" customWidth="1"/>
    <col min="190" max="190" width="10.7109375" style="1" customWidth="1"/>
    <col min="191" max="200" width="9.85546875" style="1" customWidth="1"/>
    <col min="201" max="201" width="8.28515625" style="1" customWidth="1"/>
    <col min="202" max="202" width="8.28515625" style="1" hidden="1" customWidth="1"/>
    <col min="203" max="203" width="12.28515625" style="1" hidden="1" customWidth="1"/>
    <col min="204" max="204" width="12.85546875" style="1" hidden="1" customWidth="1"/>
    <col min="205" max="205" width="12.140625" style="1" hidden="1" customWidth="1"/>
    <col min="206" max="206" width="12.5703125" style="1" hidden="1" customWidth="1"/>
    <col min="207" max="207" width="7.42578125" style="1" hidden="1" customWidth="1"/>
    <col min="208" max="208" width="9.42578125" style="1" hidden="1" customWidth="1"/>
    <col min="209" max="209" width="10.85546875" style="1" hidden="1" customWidth="1"/>
    <col min="210" max="210" width="12.7109375" style="1" hidden="1" customWidth="1"/>
    <col min="211" max="211" width="11.85546875" style="1" hidden="1" customWidth="1"/>
    <col min="212" max="212" width="17.5703125" style="1" hidden="1" customWidth="1"/>
    <col min="213" max="213" width="13.5703125" style="1" hidden="1" customWidth="1"/>
    <col min="214" max="214" width="12.7109375" style="1" hidden="1" customWidth="1"/>
    <col min="215" max="215" width="15.28515625" style="1" hidden="1" customWidth="1"/>
    <col min="216" max="216" width="12.7109375" style="1" hidden="1" customWidth="1"/>
    <col min="217" max="217" width="13.7109375" style="1" hidden="1" customWidth="1"/>
    <col min="218" max="218" width="5.140625" style="1" hidden="1" customWidth="1"/>
    <col min="219" max="219" width="12.28515625" style="1" hidden="1" customWidth="1"/>
    <col min="220" max="221" width="12.7109375" style="1" hidden="1" customWidth="1"/>
    <col min="222" max="222" width="14.5703125" style="1" hidden="1" customWidth="1"/>
    <col min="223" max="227" width="12.7109375" style="1" hidden="1" customWidth="1"/>
    <col min="228" max="228" width="12.28515625" style="1" hidden="1" customWidth="1"/>
    <col min="229" max="229" width="10.140625" style="1" hidden="1" customWidth="1"/>
    <col min="230" max="232" width="12.7109375" style="1" hidden="1" customWidth="1"/>
    <col min="233" max="233" width="5.7109375" style="1" hidden="1" customWidth="1"/>
    <col min="234" max="234" width="14.28515625" style="1" hidden="1" customWidth="1"/>
    <col min="235" max="235" width="10.85546875" style="1" hidden="1" customWidth="1"/>
    <col min="236" max="236" width="12" style="1" hidden="1" customWidth="1"/>
    <col min="237" max="237" width="5.85546875" style="1" hidden="1" customWidth="1"/>
    <col min="238" max="238" width="14.7109375" style="1" hidden="1" customWidth="1"/>
    <col min="239" max="239" width="10.85546875" style="1" hidden="1" customWidth="1"/>
    <col min="240" max="240" width="12.5703125" style="1" hidden="1" customWidth="1"/>
    <col min="241" max="241" width="4.85546875" style="1" hidden="1" customWidth="1"/>
    <col min="242" max="242" width="16.28515625" style="1" hidden="1" customWidth="1"/>
    <col min="243" max="243" width="14.28515625" style="1" hidden="1" customWidth="1"/>
    <col min="244" max="244" width="12.85546875" style="1" hidden="1" customWidth="1"/>
    <col min="245" max="245" width="10.28515625" style="1" hidden="1" customWidth="1"/>
    <col min="246" max="246" width="7" style="1" hidden="1" customWidth="1"/>
    <col min="247" max="247" width="17.28515625" style="1" hidden="1" customWidth="1"/>
    <col min="248" max="248" width="15" style="1" hidden="1" customWidth="1"/>
    <col min="249" max="249" width="12.85546875" style="1" hidden="1" customWidth="1"/>
    <col min="250" max="250" width="15.42578125" style="1" hidden="1" customWidth="1"/>
    <col min="251" max="251" width="15.140625" style="1" hidden="1" customWidth="1"/>
    <col min="252" max="252" width="13.7109375" style="1" hidden="1" customWidth="1"/>
    <col min="253" max="253" width="5.7109375" style="1" hidden="1" customWidth="1"/>
    <col min="254" max="254" width="13.5703125" style="1" hidden="1" customWidth="1"/>
    <col min="255" max="255" width="18" style="1" hidden="1" customWidth="1"/>
    <col min="256" max="256" width="16.85546875" style="1" hidden="1" customWidth="1"/>
    <col min="257" max="257" width="14" style="1" hidden="1" customWidth="1"/>
    <col min="258" max="258" width="10.28515625" style="1" hidden="1" customWidth="1"/>
    <col min="259" max="259" width="10.85546875" style="1" hidden="1" customWidth="1"/>
    <col min="260" max="260" width="8.42578125" style="1" hidden="1" customWidth="1"/>
    <col min="261" max="261" width="6.85546875" style="1" hidden="1" customWidth="1"/>
    <col min="262" max="262" width="7.140625" style="1" hidden="1" customWidth="1"/>
    <col min="263" max="263" width="7.7109375" style="1" hidden="1" customWidth="1"/>
    <col min="264" max="264" width="10.85546875" style="1" hidden="1" customWidth="1"/>
    <col min="265" max="265" width="12.42578125" style="1" hidden="1" customWidth="1"/>
    <col min="266" max="266" width="11.42578125" style="1" hidden="1" customWidth="1"/>
    <col min="267" max="267" width="12" style="1" hidden="1" customWidth="1"/>
    <col min="268" max="268" width="11.140625" style="1" hidden="1" customWidth="1"/>
    <col min="269" max="269" width="12" style="1" hidden="1" customWidth="1"/>
    <col min="270" max="270" width="12.28515625" style="1" hidden="1" customWidth="1"/>
    <col min="271" max="272" width="13" style="1" hidden="1" customWidth="1"/>
    <col min="273" max="273" width="4.28515625" style="1" hidden="1" customWidth="1"/>
    <col min="274" max="274" width="12" style="109" hidden="1" customWidth="1"/>
    <col min="275" max="275" width="9.140625" style="109" hidden="1" customWidth="1"/>
    <col min="276" max="276" width="9.5703125" style="109" hidden="1" customWidth="1"/>
    <col min="277" max="277" width="10.7109375" style="109" hidden="1" customWidth="1"/>
    <col min="278" max="278" width="6.5703125" style="109" hidden="1" customWidth="1"/>
    <col min="279" max="279" width="10.28515625" style="109" hidden="1" customWidth="1"/>
    <col min="280" max="280" width="10.7109375" style="109" hidden="1" customWidth="1"/>
    <col min="281" max="281" width="7.140625" style="109" hidden="1" customWidth="1"/>
    <col min="282" max="282" width="1.28515625" style="109" hidden="1" customWidth="1"/>
    <col min="283" max="283" width="10" style="109" hidden="1" customWidth="1"/>
    <col min="284" max="284" width="12.85546875" style="109" hidden="1" customWidth="1"/>
    <col min="285" max="285" width="11.28515625" style="109" hidden="1" customWidth="1"/>
    <col min="286" max="286" width="12.7109375" style="1" hidden="1" customWidth="1"/>
    <col min="287" max="287" width="9.7109375" style="1" hidden="1" customWidth="1"/>
    <col min="288" max="288" width="0" style="1" hidden="1" customWidth="1"/>
    <col min="289" max="16384" width="9.140625" style="1"/>
  </cols>
  <sheetData>
    <row r="1" spans="1:288" ht="9.6" customHeight="1" x14ac:dyDescent="0.25">
      <c r="L1" s="2"/>
      <c r="M1" s="2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  <c r="IW1" s="183"/>
      <c r="IX1" s="183"/>
      <c r="IY1" s="183"/>
      <c r="IZ1" s="183"/>
      <c r="JA1" s="183"/>
      <c r="JF1" s="2"/>
    </row>
    <row r="2" spans="1:288" x14ac:dyDescent="0.25">
      <c r="L2" s="363" t="s">
        <v>0</v>
      </c>
      <c r="M2" s="36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  <c r="IW2" s="183"/>
      <c r="IX2" s="183"/>
      <c r="IY2" s="183"/>
      <c r="IZ2" s="183"/>
      <c r="JA2" s="183"/>
      <c r="JF2" s="2"/>
    </row>
    <row r="3" spans="1:288" x14ac:dyDescent="0.25">
      <c r="L3" s="364" t="s">
        <v>603</v>
      </c>
      <c r="M3" s="36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  <c r="IV3" s="183"/>
      <c r="IW3" s="183"/>
      <c r="IX3" s="183"/>
      <c r="IY3" s="183"/>
      <c r="IZ3" s="183"/>
      <c r="JA3" s="183"/>
      <c r="JF3" s="2"/>
    </row>
    <row r="4" spans="1:288" ht="18.600000000000001" customHeight="1" x14ac:dyDescent="0.25">
      <c r="A4" s="261" t="s">
        <v>540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 t="s">
        <v>412</v>
      </c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  <c r="IX4" s="227"/>
      <c r="IY4" s="227"/>
      <c r="IZ4" s="227"/>
      <c r="JA4" s="227"/>
      <c r="JB4" s="64"/>
      <c r="JC4" s="64"/>
      <c r="JD4" s="64"/>
      <c r="JE4" s="64"/>
      <c r="JF4" s="64"/>
      <c r="JG4" s="64"/>
      <c r="JH4" s="64"/>
    </row>
    <row r="5" spans="1:288" x14ac:dyDescent="0.25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336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  <c r="IX5" s="227"/>
      <c r="IY5" s="227"/>
      <c r="IZ5" s="227"/>
      <c r="JA5" s="227"/>
      <c r="JB5" s="64"/>
      <c r="JC5" s="64"/>
      <c r="JD5" s="64"/>
      <c r="JE5" s="64"/>
      <c r="JF5" s="64"/>
      <c r="JG5" s="64"/>
      <c r="JH5" s="64"/>
    </row>
    <row r="6" spans="1:288" ht="19.899999999999999" customHeight="1" x14ac:dyDescent="0.25">
      <c r="A6" s="65" t="s">
        <v>167</v>
      </c>
    </row>
    <row r="7" spans="1:288" ht="75.599999999999994" customHeight="1" x14ac:dyDescent="0.25">
      <c r="A7" s="262" t="s">
        <v>2</v>
      </c>
      <c r="B7" s="262" t="s">
        <v>110</v>
      </c>
      <c r="C7" s="262" t="s">
        <v>5</v>
      </c>
      <c r="D7" s="264" t="s">
        <v>518</v>
      </c>
      <c r="E7" s="265"/>
      <c r="F7" s="265"/>
      <c r="G7" s="265"/>
      <c r="H7" s="266"/>
      <c r="I7" s="267" t="s">
        <v>440</v>
      </c>
      <c r="J7" s="104" t="s">
        <v>8</v>
      </c>
      <c r="K7" s="267" t="s">
        <v>441</v>
      </c>
      <c r="L7" s="208" t="s">
        <v>8</v>
      </c>
      <c r="M7" s="267" t="s">
        <v>548</v>
      </c>
      <c r="N7" s="104" t="s">
        <v>8</v>
      </c>
      <c r="O7" s="66"/>
      <c r="P7" s="66"/>
      <c r="Q7" s="337" t="s">
        <v>557</v>
      </c>
      <c r="R7" s="365" t="s">
        <v>461</v>
      </c>
      <c r="S7" s="259" t="s">
        <v>596</v>
      </c>
      <c r="T7" s="259" t="s">
        <v>597</v>
      </c>
      <c r="U7" s="66"/>
      <c r="V7" s="259" t="s">
        <v>598</v>
      </c>
      <c r="W7" s="259" t="s">
        <v>599</v>
      </c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337" t="s">
        <v>557</v>
      </c>
      <c r="AS7" s="365" t="s">
        <v>458</v>
      </c>
      <c r="AT7" s="259" t="s">
        <v>459</v>
      </c>
      <c r="AU7" s="259" t="s">
        <v>460</v>
      </c>
      <c r="AV7" s="66"/>
      <c r="AW7" s="365" t="s">
        <v>461</v>
      </c>
      <c r="AX7" s="259" t="s">
        <v>462</v>
      </c>
      <c r="AY7" s="259" t="s">
        <v>463</v>
      </c>
      <c r="AZ7" s="66"/>
      <c r="BA7" s="365" t="s">
        <v>464</v>
      </c>
      <c r="BB7" s="259" t="s">
        <v>465</v>
      </c>
      <c r="BC7" s="259" t="s">
        <v>466</v>
      </c>
      <c r="BD7" s="66"/>
      <c r="BE7" s="66"/>
      <c r="BF7" s="226" t="s">
        <v>469</v>
      </c>
      <c r="BG7" s="260" t="s">
        <v>471</v>
      </c>
      <c r="BH7" s="259" t="s">
        <v>472</v>
      </c>
      <c r="BI7" s="66"/>
      <c r="BJ7" s="260" t="s">
        <v>473</v>
      </c>
      <c r="BK7" s="259" t="s">
        <v>474</v>
      </c>
      <c r="BL7" s="66"/>
      <c r="BM7" s="260" t="s">
        <v>475</v>
      </c>
      <c r="BN7" s="259" t="s">
        <v>476</v>
      </c>
      <c r="BO7" s="67"/>
      <c r="BP7" s="66"/>
      <c r="BQ7" s="226" t="s">
        <v>481</v>
      </c>
      <c r="BR7" s="260" t="s">
        <v>477</v>
      </c>
      <c r="BS7" s="259" t="s">
        <v>478</v>
      </c>
      <c r="BT7" s="66"/>
      <c r="BU7" s="226" t="s">
        <v>483</v>
      </c>
      <c r="BV7" s="260" t="s">
        <v>486</v>
      </c>
      <c r="BW7" s="259" t="s">
        <v>487</v>
      </c>
      <c r="BX7" s="66"/>
      <c r="BY7" s="226" t="s">
        <v>488</v>
      </c>
      <c r="BZ7" s="260" t="s">
        <v>490</v>
      </c>
      <c r="CA7" s="259" t="s">
        <v>491</v>
      </c>
      <c r="CB7" s="66"/>
      <c r="CC7" s="66"/>
      <c r="CD7" s="259" t="s">
        <v>512</v>
      </c>
      <c r="CE7" s="260" t="s">
        <v>513</v>
      </c>
      <c r="CF7" s="259" t="s">
        <v>643</v>
      </c>
      <c r="CG7" s="66"/>
      <c r="CH7" s="365" t="s">
        <v>516</v>
      </c>
      <c r="CI7" s="259" t="s">
        <v>514</v>
      </c>
      <c r="CJ7" s="259" t="s">
        <v>644</v>
      </c>
      <c r="CK7" s="66"/>
      <c r="CL7" s="365" t="s">
        <v>517</v>
      </c>
      <c r="CM7" s="259" t="s">
        <v>515</v>
      </c>
      <c r="CN7" s="259" t="s">
        <v>645</v>
      </c>
      <c r="CO7" s="66"/>
      <c r="CP7" s="226" t="s">
        <v>521</v>
      </c>
      <c r="CQ7" s="260" t="s">
        <v>523</v>
      </c>
      <c r="CR7" s="259" t="s">
        <v>524</v>
      </c>
      <c r="CS7" s="66"/>
      <c r="CT7" s="66"/>
      <c r="CU7" s="226" t="s">
        <v>528</v>
      </c>
      <c r="CV7" s="260" t="s">
        <v>530</v>
      </c>
      <c r="CW7" s="259" t="s">
        <v>531</v>
      </c>
      <c r="CX7" s="66"/>
      <c r="CY7" s="66"/>
      <c r="CZ7" s="365" t="s">
        <v>339</v>
      </c>
      <c r="DA7" s="259" t="s">
        <v>341</v>
      </c>
      <c r="DB7" s="259" t="s">
        <v>340</v>
      </c>
      <c r="DC7" s="66"/>
      <c r="DD7" s="66"/>
      <c r="DE7" s="67"/>
      <c r="DF7" s="226" t="s">
        <v>347</v>
      </c>
      <c r="DG7" s="260" t="s">
        <v>341</v>
      </c>
      <c r="DH7" s="259" t="s">
        <v>340</v>
      </c>
      <c r="DI7" s="67"/>
      <c r="DJ7" s="67"/>
      <c r="DK7" s="67"/>
      <c r="DL7" s="66"/>
      <c r="DM7" s="66"/>
      <c r="DN7" s="67"/>
      <c r="DO7" s="226" t="s">
        <v>342</v>
      </c>
      <c r="DP7" s="260" t="s">
        <v>344</v>
      </c>
      <c r="DQ7" s="259" t="s">
        <v>345</v>
      </c>
      <c r="DR7" s="66"/>
      <c r="DS7" s="66"/>
      <c r="DT7" s="66"/>
      <c r="DU7" s="66"/>
      <c r="DV7" s="66"/>
      <c r="DW7" s="66"/>
      <c r="DX7" s="66"/>
      <c r="DY7" s="66"/>
      <c r="DZ7" s="66"/>
      <c r="EA7" s="67"/>
      <c r="EB7" s="226" t="s">
        <v>369</v>
      </c>
      <c r="EC7" s="260" t="s">
        <v>372</v>
      </c>
      <c r="ED7" s="259" t="s">
        <v>373</v>
      </c>
      <c r="EE7" s="66"/>
      <c r="EF7" s="66"/>
      <c r="EG7" s="66"/>
      <c r="EH7" s="66"/>
      <c r="EI7" s="66"/>
      <c r="EJ7" s="66"/>
      <c r="EK7" s="66"/>
      <c r="EL7" s="66"/>
      <c r="EM7" s="68"/>
      <c r="EN7" s="226" t="s">
        <v>384</v>
      </c>
      <c r="EO7" s="260" t="s">
        <v>388</v>
      </c>
      <c r="EP7" s="259" t="s">
        <v>389</v>
      </c>
      <c r="EQ7" s="68"/>
      <c r="ER7" s="68"/>
      <c r="ES7" s="68"/>
      <c r="ET7" s="68"/>
      <c r="EU7" s="66"/>
      <c r="EV7" s="66"/>
      <c r="EW7" s="66"/>
      <c r="EX7" s="68"/>
      <c r="EY7" s="226" t="s">
        <v>390</v>
      </c>
      <c r="EZ7" s="260" t="s">
        <v>393</v>
      </c>
      <c r="FA7" s="259" t="s">
        <v>394</v>
      </c>
      <c r="FB7" s="68"/>
      <c r="FC7" s="68"/>
      <c r="FD7" s="68"/>
      <c r="FE7" s="68"/>
      <c r="FF7" s="66"/>
      <c r="FG7" s="66"/>
      <c r="FH7" s="66"/>
      <c r="FI7" s="66"/>
      <c r="FJ7" s="66"/>
      <c r="FK7" s="226" t="s">
        <v>397</v>
      </c>
      <c r="FL7" s="260" t="s">
        <v>400</v>
      </c>
      <c r="FM7" s="259" t="s">
        <v>401</v>
      </c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259" t="s">
        <v>408</v>
      </c>
      <c r="FY7" s="259" t="s">
        <v>400</v>
      </c>
      <c r="FZ7" s="259" t="s">
        <v>409</v>
      </c>
      <c r="GA7" s="259" t="s">
        <v>411</v>
      </c>
      <c r="GB7" s="259" t="s">
        <v>410</v>
      </c>
      <c r="GC7" s="259" t="s">
        <v>409</v>
      </c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T7" s="66"/>
      <c r="GU7" s="66"/>
      <c r="GV7" s="66"/>
      <c r="GW7" s="66"/>
      <c r="GX7" s="66"/>
      <c r="GY7" s="338"/>
      <c r="GZ7" s="68"/>
      <c r="HA7" s="68"/>
      <c r="HB7" s="226" t="s">
        <v>268</v>
      </c>
      <c r="HC7" s="260" t="s">
        <v>270</v>
      </c>
      <c r="HD7" s="259" t="s">
        <v>271</v>
      </c>
      <c r="HE7" s="67"/>
      <c r="HF7" s="68"/>
      <c r="HG7" s="226" t="s">
        <v>296</v>
      </c>
      <c r="HH7" s="260" t="s">
        <v>298</v>
      </c>
      <c r="HI7" s="259" t="s">
        <v>299</v>
      </c>
      <c r="HJ7" s="67"/>
      <c r="HK7" s="67"/>
      <c r="HL7" s="226" t="s">
        <v>302</v>
      </c>
      <c r="HM7" s="260" t="s">
        <v>303</v>
      </c>
      <c r="HN7" s="259" t="s">
        <v>304</v>
      </c>
      <c r="HO7" s="67"/>
      <c r="HP7" s="67"/>
      <c r="HQ7" s="67"/>
      <c r="HR7" s="259" t="s">
        <v>646</v>
      </c>
      <c r="HS7" s="259" t="s">
        <v>252</v>
      </c>
      <c r="HT7" s="68"/>
      <c r="HU7" s="68"/>
      <c r="HV7" s="67" t="s">
        <v>168</v>
      </c>
      <c r="HW7" s="259" t="s">
        <v>169</v>
      </c>
      <c r="HX7" s="259" t="s">
        <v>170</v>
      </c>
      <c r="HY7" s="66"/>
      <c r="HZ7" s="67" t="s">
        <v>171</v>
      </c>
      <c r="IA7" s="259" t="s">
        <v>172</v>
      </c>
      <c r="IB7" s="259" t="s">
        <v>173</v>
      </c>
      <c r="IC7" s="67"/>
      <c r="ID7" s="67" t="s">
        <v>174</v>
      </c>
      <c r="IE7" s="259" t="s">
        <v>175</v>
      </c>
      <c r="IF7" s="259" t="s">
        <v>176</v>
      </c>
      <c r="IG7" s="66"/>
      <c r="IH7" s="67" t="s">
        <v>177</v>
      </c>
      <c r="II7" s="259" t="s">
        <v>178</v>
      </c>
      <c r="IJ7" s="259" t="s">
        <v>179</v>
      </c>
      <c r="IK7" s="66"/>
      <c r="IL7" s="66"/>
      <c r="IM7" s="67" t="s">
        <v>180</v>
      </c>
      <c r="IN7" s="259" t="s">
        <v>181</v>
      </c>
      <c r="IO7" s="259" t="s">
        <v>182</v>
      </c>
      <c r="IP7" s="66"/>
      <c r="IQ7" s="66"/>
      <c r="IR7" s="66"/>
      <c r="IS7" s="66"/>
      <c r="IT7" s="67" t="s">
        <v>183</v>
      </c>
      <c r="IU7" s="259" t="s">
        <v>184</v>
      </c>
      <c r="IV7" s="259" t="s">
        <v>185</v>
      </c>
      <c r="IW7" s="66"/>
      <c r="IX7" s="66"/>
      <c r="IY7" s="66"/>
      <c r="IZ7" s="66"/>
      <c r="JA7" s="66"/>
      <c r="JD7" s="259" t="s">
        <v>186</v>
      </c>
      <c r="JE7" s="259" t="s">
        <v>187</v>
      </c>
      <c r="JF7" s="259" t="s">
        <v>188</v>
      </c>
      <c r="JG7" s="259" t="s">
        <v>189</v>
      </c>
      <c r="JH7" s="259" t="s">
        <v>190</v>
      </c>
      <c r="JI7" s="259" t="s">
        <v>191</v>
      </c>
      <c r="JJ7" s="259" t="s">
        <v>192</v>
      </c>
      <c r="JK7" s="259" t="s">
        <v>193</v>
      </c>
      <c r="JL7" s="259" t="s">
        <v>194</v>
      </c>
      <c r="JM7" s="259" t="s">
        <v>195</v>
      </c>
      <c r="JN7" s="67"/>
    </row>
    <row r="8" spans="1:288" ht="23.45" customHeight="1" x14ac:dyDescent="0.25">
      <c r="A8" s="263"/>
      <c r="B8" s="263"/>
      <c r="C8" s="263"/>
      <c r="D8" s="30" t="s">
        <v>547</v>
      </c>
      <c r="E8" s="339" t="s">
        <v>196</v>
      </c>
      <c r="F8" s="30" t="s">
        <v>197</v>
      </c>
      <c r="G8" s="69" t="s">
        <v>419</v>
      </c>
      <c r="H8" s="69" t="s">
        <v>534</v>
      </c>
      <c r="I8" s="267"/>
      <c r="J8" s="69" t="s">
        <v>315</v>
      </c>
      <c r="K8" s="267"/>
      <c r="L8" s="69" t="s">
        <v>419</v>
      </c>
      <c r="M8" s="267"/>
      <c r="N8" s="69" t="s">
        <v>534</v>
      </c>
      <c r="O8" s="70"/>
      <c r="P8" s="70"/>
      <c r="Q8" s="70"/>
      <c r="R8" s="365"/>
      <c r="S8" s="259"/>
      <c r="T8" s="259"/>
      <c r="U8" s="70"/>
      <c r="V8" s="259"/>
      <c r="W8" s="259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365"/>
      <c r="AT8" s="259"/>
      <c r="AU8" s="259"/>
      <c r="AV8" s="70"/>
      <c r="AW8" s="365"/>
      <c r="AX8" s="259"/>
      <c r="AY8" s="259"/>
      <c r="AZ8" s="70"/>
      <c r="BA8" s="365"/>
      <c r="BB8" s="259"/>
      <c r="BC8" s="259"/>
      <c r="BD8" s="70"/>
      <c r="BE8" s="70"/>
      <c r="BF8" s="73" t="s">
        <v>470</v>
      </c>
      <c r="BG8" s="260"/>
      <c r="BH8" s="259"/>
      <c r="BI8" s="70"/>
      <c r="BJ8" s="260"/>
      <c r="BK8" s="259"/>
      <c r="BL8" s="70"/>
      <c r="BM8" s="260"/>
      <c r="BN8" s="259"/>
      <c r="BO8" s="67"/>
      <c r="BP8" s="70"/>
      <c r="BQ8" s="73" t="s">
        <v>482</v>
      </c>
      <c r="BR8" s="260"/>
      <c r="BS8" s="259"/>
      <c r="BT8" s="70"/>
      <c r="BU8" s="73" t="s">
        <v>484</v>
      </c>
      <c r="BV8" s="260"/>
      <c r="BW8" s="259"/>
      <c r="BX8" s="70"/>
      <c r="BY8" s="73" t="s">
        <v>489</v>
      </c>
      <c r="BZ8" s="260"/>
      <c r="CA8" s="259"/>
      <c r="CB8" s="70"/>
      <c r="CC8" s="70"/>
      <c r="CD8" s="259"/>
      <c r="CE8" s="260"/>
      <c r="CF8" s="259"/>
      <c r="CG8" s="70"/>
      <c r="CH8" s="365"/>
      <c r="CI8" s="259"/>
      <c r="CJ8" s="259"/>
      <c r="CK8" s="70"/>
      <c r="CL8" s="365"/>
      <c r="CM8" s="259"/>
      <c r="CN8" s="259"/>
      <c r="CO8" s="70"/>
      <c r="CP8" s="73" t="s">
        <v>522</v>
      </c>
      <c r="CQ8" s="260"/>
      <c r="CR8" s="259"/>
      <c r="CS8" s="70"/>
      <c r="CT8" s="70"/>
      <c r="CU8" s="73" t="s">
        <v>529</v>
      </c>
      <c r="CV8" s="260"/>
      <c r="CW8" s="259"/>
      <c r="CX8" s="70"/>
      <c r="CY8" s="70"/>
      <c r="CZ8" s="365"/>
      <c r="DA8" s="259"/>
      <c r="DB8" s="259"/>
      <c r="DC8" s="70"/>
      <c r="DD8" s="70"/>
      <c r="DE8" s="67"/>
      <c r="DF8" s="73" t="s">
        <v>348</v>
      </c>
      <c r="DG8" s="260"/>
      <c r="DH8" s="259"/>
      <c r="DI8" s="67"/>
      <c r="DJ8" s="67"/>
      <c r="DK8" s="67"/>
      <c r="DL8" s="70"/>
      <c r="DM8" s="70"/>
      <c r="DN8" s="67"/>
      <c r="DO8" s="73" t="s">
        <v>343</v>
      </c>
      <c r="DP8" s="260"/>
      <c r="DQ8" s="259"/>
      <c r="DR8" s="70"/>
      <c r="DS8" s="70"/>
      <c r="DT8" s="70"/>
      <c r="DU8" s="70"/>
      <c r="DV8" s="70"/>
      <c r="DW8" s="70"/>
      <c r="DX8" s="70"/>
      <c r="DY8" s="70"/>
      <c r="DZ8" s="70"/>
      <c r="EA8" s="67"/>
      <c r="EB8" s="73" t="s">
        <v>370</v>
      </c>
      <c r="EC8" s="260"/>
      <c r="ED8" s="259"/>
      <c r="EE8" s="70"/>
      <c r="EF8" s="70"/>
      <c r="EG8" s="70"/>
      <c r="EH8" s="70"/>
      <c r="EI8" s="70"/>
      <c r="EJ8" s="70"/>
      <c r="EK8" s="70"/>
      <c r="EL8" s="70"/>
      <c r="EM8" s="68"/>
      <c r="EN8" s="73" t="s">
        <v>385</v>
      </c>
      <c r="EO8" s="260"/>
      <c r="EP8" s="259"/>
      <c r="EQ8" s="68"/>
      <c r="ER8" s="68"/>
      <c r="ES8" s="68"/>
      <c r="ET8" s="68"/>
      <c r="EU8" s="70"/>
      <c r="EV8" s="70"/>
      <c r="EW8" s="70"/>
      <c r="EX8" s="68"/>
      <c r="EY8" s="73" t="s">
        <v>391</v>
      </c>
      <c r="EZ8" s="260"/>
      <c r="FA8" s="259"/>
      <c r="FB8" s="68"/>
      <c r="FC8" s="68"/>
      <c r="FD8" s="68"/>
      <c r="FE8" s="68"/>
      <c r="FF8" s="70"/>
      <c r="FG8" s="70"/>
      <c r="FH8" s="70"/>
      <c r="FI8" s="70"/>
      <c r="FJ8" s="70"/>
      <c r="FK8" s="73" t="s">
        <v>399</v>
      </c>
      <c r="FL8" s="260"/>
      <c r="FM8" s="259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259"/>
      <c r="FY8" s="259"/>
      <c r="FZ8" s="259"/>
      <c r="GA8" s="259"/>
      <c r="GB8" s="259"/>
      <c r="GC8" s="259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T8" s="70"/>
      <c r="GU8" s="70"/>
      <c r="GV8" s="70"/>
      <c r="GW8" s="70"/>
      <c r="GX8" s="70"/>
      <c r="GY8" s="338"/>
      <c r="GZ8" s="68"/>
      <c r="HA8" s="68"/>
      <c r="HB8" s="73" t="s">
        <v>269</v>
      </c>
      <c r="HC8" s="260"/>
      <c r="HD8" s="259"/>
      <c r="HE8" s="67"/>
      <c r="HF8" s="68"/>
      <c r="HG8" s="73" t="s">
        <v>297</v>
      </c>
      <c r="HH8" s="260"/>
      <c r="HI8" s="259"/>
      <c r="HJ8" s="67"/>
      <c r="HK8" s="67"/>
      <c r="HL8" s="73" t="s">
        <v>301</v>
      </c>
      <c r="HM8" s="260"/>
      <c r="HN8" s="259"/>
      <c r="HO8" s="67"/>
      <c r="HP8" s="67"/>
      <c r="HQ8" s="67"/>
      <c r="HR8" s="259"/>
      <c r="HS8" s="259"/>
      <c r="HT8" s="68"/>
      <c r="HU8" s="68"/>
      <c r="HV8" s="101" t="s">
        <v>198</v>
      </c>
      <c r="HW8" s="259"/>
      <c r="HX8" s="259"/>
      <c r="HY8" s="70"/>
      <c r="HZ8" s="101" t="s">
        <v>199</v>
      </c>
      <c r="IA8" s="259"/>
      <c r="IB8" s="259"/>
      <c r="IC8" s="67"/>
      <c r="ID8" s="101" t="s">
        <v>200</v>
      </c>
      <c r="IE8" s="259"/>
      <c r="IF8" s="259"/>
      <c r="IG8" s="70"/>
      <c r="IH8" s="101" t="s">
        <v>201</v>
      </c>
      <c r="II8" s="259"/>
      <c r="IJ8" s="259"/>
      <c r="IK8" s="70"/>
      <c r="IL8" s="70"/>
      <c r="IM8" s="101" t="s">
        <v>202</v>
      </c>
      <c r="IN8" s="259"/>
      <c r="IO8" s="259"/>
      <c r="IP8" s="70"/>
      <c r="IQ8" s="70"/>
      <c r="IR8" s="70"/>
      <c r="IS8" s="70"/>
      <c r="IT8" s="101" t="s">
        <v>203</v>
      </c>
      <c r="IU8" s="259"/>
      <c r="IV8" s="259"/>
      <c r="IW8" s="70"/>
      <c r="IX8" s="70"/>
      <c r="IY8" s="70"/>
      <c r="IZ8" s="70"/>
      <c r="JA8" s="70"/>
      <c r="JD8" s="259"/>
      <c r="JE8" s="259"/>
      <c r="JF8" s="259"/>
      <c r="JG8" s="259"/>
      <c r="JH8" s="259"/>
      <c r="JI8" s="259"/>
      <c r="JJ8" s="259"/>
      <c r="JK8" s="259"/>
      <c r="JL8" s="259"/>
      <c r="JM8" s="259"/>
      <c r="JN8" s="67"/>
    </row>
    <row r="9" spans="1:288" ht="25.15" customHeight="1" x14ac:dyDescent="0.25">
      <c r="A9" s="59" t="s">
        <v>18</v>
      </c>
      <c r="B9" s="59" t="s">
        <v>114</v>
      </c>
      <c r="C9" s="59" t="s">
        <v>19</v>
      </c>
      <c r="D9" s="59" t="s">
        <v>20</v>
      </c>
      <c r="E9" s="59" t="s">
        <v>20</v>
      </c>
      <c r="F9" s="59" t="s">
        <v>20</v>
      </c>
      <c r="G9" s="59" t="s">
        <v>20</v>
      </c>
      <c r="H9" s="59" t="s">
        <v>20</v>
      </c>
      <c r="I9" s="59" t="s">
        <v>21</v>
      </c>
      <c r="J9" s="59" t="s">
        <v>21</v>
      </c>
      <c r="K9" s="59" t="s">
        <v>21</v>
      </c>
      <c r="L9" s="59" t="s">
        <v>21</v>
      </c>
      <c r="M9" s="59" t="s">
        <v>21</v>
      </c>
      <c r="N9" s="59" t="s">
        <v>21</v>
      </c>
      <c r="O9" s="71"/>
      <c r="P9" s="71"/>
      <c r="Q9" s="71"/>
      <c r="R9" s="101" t="s">
        <v>204</v>
      </c>
      <c r="T9" s="119" t="s">
        <v>468</v>
      </c>
      <c r="U9" s="71"/>
      <c r="W9" s="88">
        <v>63755588.189999998</v>
      </c>
      <c r="X9" s="72">
        <f>W9-W18</f>
        <v>63371860.509999998</v>
      </c>
      <c r="Y9" s="72"/>
      <c r="Z9" s="72"/>
      <c r="AA9" s="72"/>
      <c r="AB9" s="72"/>
      <c r="AC9" s="72"/>
      <c r="AD9" s="72"/>
      <c r="AE9" s="72"/>
      <c r="AF9" s="10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101" t="s">
        <v>204</v>
      </c>
      <c r="AU9" s="119" t="s">
        <v>207</v>
      </c>
      <c r="AV9" s="71"/>
      <c r="AW9" s="101" t="s">
        <v>204</v>
      </c>
      <c r="AY9" s="119" t="s">
        <v>468</v>
      </c>
      <c r="AZ9" s="71"/>
      <c r="BA9" s="101" t="s">
        <v>204</v>
      </c>
      <c r="BC9" s="119" t="s">
        <v>467</v>
      </c>
      <c r="BD9" s="71"/>
      <c r="BE9" s="71"/>
      <c r="BF9" s="92">
        <f>24922888.44</f>
        <v>24922888.440000001</v>
      </c>
      <c r="BG9" s="72">
        <f>BF9-AU17</f>
        <v>5680410.0000000037</v>
      </c>
      <c r="BH9" s="101">
        <f>BG9/AS17</f>
        <v>82.482575361561302</v>
      </c>
      <c r="BI9" s="71"/>
      <c r="BJ9" s="92">
        <v>15242171.380000001</v>
      </c>
      <c r="BK9" s="72">
        <f>BJ9-AY17</f>
        <v>-4000307.0615579989</v>
      </c>
      <c r="BL9" s="71"/>
      <c r="BM9" s="92">
        <v>12196137.380000001</v>
      </c>
      <c r="BN9" s="72">
        <f>BM9-BC17</f>
        <v>-7046341.0603419971</v>
      </c>
      <c r="BO9" s="72"/>
      <c r="BP9" s="71"/>
      <c r="BQ9" s="92">
        <f>24922888.44</f>
        <v>24922888.440000001</v>
      </c>
      <c r="BR9" s="72" t="s">
        <v>479</v>
      </c>
      <c r="BS9" s="101"/>
      <c r="BT9" s="71"/>
      <c r="BU9" s="92">
        <v>25005238.440000001</v>
      </c>
      <c r="BV9" s="72" t="s">
        <v>485</v>
      </c>
      <c r="BW9" s="92">
        <f>BU9-BQ9</f>
        <v>82350</v>
      </c>
      <c r="BX9" s="71"/>
      <c r="BY9" s="92">
        <v>25581749.609999999</v>
      </c>
      <c r="BZ9" s="72" t="s">
        <v>485</v>
      </c>
      <c r="CA9" s="92">
        <f>BY9-BU9</f>
        <v>576511.16999999806</v>
      </c>
      <c r="CB9" s="71"/>
      <c r="CC9" s="71"/>
      <c r="CD9" s="73" t="s">
        <v>204</v>
      </c>
      <c r="CF9" s="119" t="s">
        <v>207</v>
      </c>
      <c r="CG9" s="71"/>
      <c r="CH9" s="101" t="s">
        <v>204</v>
      </c>
      <c r="CJ9" s="119" t="s">
        <v>468</v>
      </c>
      <c r="CK9" s="71"/>
      <c r="CL9" s="101" t="s">
        <v>204</v>
      </c>
      <c r="CN9" s="119" t="s">
        <v>467</v>
      </c>
      <c r="CO9" s="71"/>
      <c r="CP9" s="92">
        <v>57706619.369999997</v>
      </c>
      <c r="CQ9" s="72" t="s">
        <v>525</v>
      </c>
      <c r="CR9" s="92">
        <f>CP10-CF17</f>
        <v>1754027.998183988</v>
      </c>
      <c r="CS9" s="71"/>
      <c r="CT9" s="71"/>
      <c r="CU9" s="92">
        <v>56337676.009999998</v>
      </c>
      <c r="CV9" s="72" t="s">
        <v>525</v>
      </c>
      <c r="CW9" s="92">
        <f>CU10-CP10</f>
        <v>-1368943.3599999994</v>
      </c>
      <c r="CX9" s="71"/>
      <c r="CY9" s="71"/>
      <c r="CZ9" s="101" t="s">
        <v>204</v>
      </c>
      <c r="DB9" s="119" t="s">
        <v>206</v>
      </c>
      <c r="DC9" s="71"/>
      <c r="DD9" s="71"/>
      <c r="DE9" s="179"/>
      <c r="DF9" s="73" t="s">
        <v>346</v>
      </c>
      <c r="DG9" s="119"/>
      <c r="DH9" s="179"/>
      <c r="DI9" s="179"/>
      <c r="DJ9" s="73" t="s">
        <v>346</v>
      </c>
      <c r="DK9" s="340"/>
      <c r="DL9" s="71"/>
      <c r="DM9" s="71"/>
      <c r="DN9" s="179"/>
      <c r="DO9" s="73" t="s">
        <v>356</v>
      </c>
      <c r="DP9" s="119">
        <v>69.806147100000004</v>
      </c>
      <c r="DQ9" s="341">
        <f>69.81-0.0159+0.00006</f>
        <v>69.794160000000005</v>
      </c>
      <c r="DR9" s="73" t="s">
        <v>356</v>
      </c>
      <c r="DS9" s="30"/>
      <c r="DT9" s="71"/>
      <c r="DU9" s="71"/>
      <c r="DV9" s="71"/>
      <c r="DW9" s="71"/>
      <c r="DX9" s="71"/>
      <c r="DY9" s="71"/>
      <c r="DZ9" s="71"/>
      <c r="EA9" s="179"/>
      <c r="EB9" s="73" t="s">
        <v>371</v>
      </c>
      <c r="EC9" s="168">
        <f>EJ17</f>
        <v>25.504340357650563</v>
      </c>
      <c r="ED9" s="341">
        <v>25.8</v>
      </c>
      <c r="EE9" s="73" t="s">
        <v>371</v>
      </c>
      <c r="EF9" s="30"/>
      <c r="EG9" s="71"/>
      <c r="EH9" s="71"/>
      <c r="EI9" s="71"/>
      <c r="EJ9" s="71"/>
      <c r="EK9" s="166"/>
      <c r="EL9" s="166"/>
      <c r="EM9" s="119"/>
      <c r="EN9" s="73" t="s">
        <v>386</v>
      </c>
      <c r="EO9" s="342">
        <f>EV17</f>
        <v>0.87981359602201492</v>
      </c>
      <c r="EP9" s="343">
        <v>0.88</v>
      </c>
      <c r="EQ9" s="73" t="s">
        <v>386</v>
      </c>
      <c r="ER9" s="30"/>
      <c r="ES9" s="119"/>
      <c r="ET9" s="341"/>
      <c r="EU9" s="71"/>
      <c r="EV9" s="71"/>
      <c r="EW9" s="71"/>
      <c r="EX9" s="119"/>
      <c r="EY9" s="73" t="s">
        <v>392</v>
      </c>
      <c r="EZ9" s="342">
        <f>FG17</f>
        <v>0</v>
      </c>
      <c r="FA9" s="343">
        <v>0.88</v>
      </c>
      <c r="FB9" s="73" t="s">
        <v>392</v>
      </c>
      <c r="FC9" s="30"/>
      <c r="FD9" s="119"/>
      <c r="FE9" s="341"/>
      <c r="FF9" s="71"/>
      <c r="FG9" s="71"/>
      <c r="FH9" s="71"/>
      <c r="FI9" s="71"/>
      <c r="FJ9" s="71"/>
      <c r="FK9" s="73" t="s">
        <v>398</v>
      </c>
      <c r="FL9" s="342">
        <f>GW17</f>
        <v>0</v>
      </c>
      <c r="FM9" s="343">
        <v>0.88</v>
      </c>
      <c r="FN9" s="73" t="s">
        <v>398</v>
      </c>
      <c r="FO9" s="101"/>
      <c r="FP9" s="101"/>
      <c r="FQ9" s="101"/>
      <c r="FR9" s="101"/>
      <c r="FS9" s="101"/>
      <c r="FT9" s="101"/>
      <c r="FU9" s="101"/>
      <c r="FV9" s="101"/>
      <c r="FW9" s="101"/>
      <c r="FX9" s="73" t="s">
        <v>204</v>
      </c>
      <c r="FY9" s="17"/>
      <c r="FZ9" s="366" t="s">
        <v>206</v>
      </c>
      <c r="GA9" s="59" t="s">
        <v>21</v>
      </c>
      <c r="GB9" s="59" t="s">
        <v>21</v>
      </c>
      <c r="GC9" s="59" t="s">
        <v>21</v>
      </c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T9" s="71"/>
      <c r="GU9" s="71"/>
      <c r="GV9" s="71"/>
      <c r="GW9" s="71"/>
      <c r="GX9" s="71"/>
      <c r="HA9" s="179"/>
      <c r="HB9" s="30"/>
      <c r="HC9" s="119">
        <v>18.9381585</v>
      </c>
      <c r="HD9" s="179"/>
      <c r="HE9" s="179"/>
      <c r="HF9" s="179"/>
      <c r="HG9" s="30"/>
      <c r="HH9" s="119">
        <v>1.9072069</v>
      </c>
      <c r="HI9" s="179"/>
      <c r="HJ9" s="179"/>
      <c r="HK9" s="179"/>
      <c r="HL9" s="30"/>
      <c r="HM9" s="119">
        <v>9.6734697000000001</v>
      </c>
      <c r="HN9" s="179"/>
      <c r="HO9" s="179"/>
      <c r="HP9" s="179"/>
      <c r="HQ9" s="179"/>
      <c r="HS9" s="179">
        <v>304168.17</v>
      </c>
      <c r="HU9" s="179"/>
      <c r="HV9" s="71"/>
      <c r="HX9" s="179">
        <f>145778.83</f>
        <v>145778.82999999999</v>
      </c>
      <c r="HY9" s="71"/>
      <c r="HZ9" s="71"/>
      <c r="IB9" s="179">
        <v>167609</v>
      </c>
      <c r="IC9" s="179"/>
      <c r="ID9" s="71"/>
      <c r="IE9" s="71"/>
      <c r="IF9" s="176">
        <v>-27213.64</v>
      </c>
      <c r="IG9" s="71"/>
      <c r="IH9" s="71"/>
      <c r="II9" s="72">
        <f>44803360.28-9993200</f>
        <v>34810160.280000001</v>
      </c>
      <c r="IJ9" s="176">
        <v>91792.17</v>
      </c>
      <c r="IK9" s="73" t="s">
        <v>208</v>
      </c>
      <c r="IL9" s="71"/>
      <c r="IM9" s="71"/>
      <c r="IN9" s="72">
        <f>44803360.28-9993200+1277754</f>
        <v>36087914.280000001</v>
      </c>
      <c r="IO9" s="176">
        <v>212959</v>
      </c>
      <c r="IP9" s="73" t="s">
        <v>208</v>
      </c>
      <c r="IQ9" s="71"/>
      <c r="IR9" s="71"/>
      <c r="IS9" s="71"/>
      <c r="IT9" s="71"/>
      <c r="IU9" s="72">
        <f>44803360.28-9993200+1277754+595148.68</f>
        <v>36683062.960000001</v>
      </c>
      <c r="IV9" s="344">
        <v>99191.444000000003</v>
      </c>
      <c r="IW9" s="73" t="s">
        <v>208</v>
      </c>
      <c r="IX9" s="71"/>
      <c r="IY9" s="71"/>
      <c r="IZ9" s="71"/>
      <c r="JA9" s="71"/>
      <c r="JC9" s="367" t="s">
        <v>209</v>
      </c>
      <c r="JE9" s="74" t="s">
        <v>210</v>
      </c>
      <c r="JG9" s="108">
        <v>182795.33</v>
      </c>
      <c r="JI9" s="108">
        <v>288911</v>
      </c>
      <c r="JK9" s="345">
        <v>11366.666670000001</v>
      </c>
      <c r="JL9" s="108"/>
      <c r="JM9" s="345">
        <v>8333.3333299999995</v>
      </c>
      <c r="JN9" s="108"/>
    </row>
    <row r="10" spans="1:288" ht="19.899999999999999" customHeight="1" x14ac:dyDescent="0.25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P10" s="77"/>
      <c r="Q10" s="77"/>
      <c r="R10" s="77"/>
      <c r="T10" s="74" t="s">
        <v>211</v>
      </c>
      <c r="U10" s="77"/>
      <c r="W10" s="74" t="s">
        <v>211</v>
      </c>
      <c r="X10" s="110">
        <f>X9-T17</f>
        <v>6813360.5099999979</v>
      </c>
      <c r="Y10" s="110"/>
      <c r="Z10" s="110"/>
      <c r="AA10" s="110"/>
      <c r="AB10" s="110"/>
      <c r="AC10" s="110"/>
      <c r="AD10" s="110"/>
      <c r="AE10" s="110"/>
      <c r="AF10" s="118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U10" s="74" t="s">
        <v>211</v>
      </c>
      <c r="AV10" s="77"/>
      <c r="AW10" s="77"/>
      <c r="AY10" s="74" t="s">
        <v>211</v>
      </c>
      <c r="AZ10" s="77"/>
      <c r="BA10" s="77"/>
      <c r="BC10" s="74" t="s">
        <v>211</v>
      </c>
      <c r="BD10" s="77"/>
      <c r="BE10" s="77"/>
      <c r="BF10" s="77"/>
      <c r="BG10" s="77"/>
      <c r="BH10" s="77"/>
      <c r="BI10" s="77"/>
      <c r="BJ10" s="77"/>
      <c r="BK10" s="67">
        <f>BK9/AW17</f>
        <v>-58.082369891800838</v>
      </c>
      <c r="BL10" s="77"/>
      <c r="BM10" s="77"/>
      <c r="BN10" s="118">
        <f>BN9/BA17</f>
        <v>-102.30176631641449</v>
      </c>
      <c r="BO10" s="118"/>
      <c r="BP10" s="77"/>
      <c r="BQ10" s="77"/>
      <c r="BR10" s="77"/>
      <c r="BS10" s="77"/>
      <c r="BT10" s="77"/>
      <c r="BU10" s="77"/>
      <c r="BV10" s="77"/>
      <c r="BW10" s="368">
        <f>BW9/AS17</f>
        <v>1.1957658128593831</v>
      </c>
      <c r="BX10" s="72" t="s">
        <v>480</v>
      </c>
      <c r="BY10" s="77"/>
      <c r="BZ10" s="77"/>
      <c r="CA10" s="368">
        <f>CA9/AS17</f>
        <v>8.3712489109600696</v>
      </c>
      <c r="CB10" s="72" t="s">
        <v>480</v>
      </c>
      <c r="CC10" s="77"/>
      <c r="CD10" s="76"/>
      <c r="CF10" s="74" t="s">
        <v>211</v>
      </c>
      <c r="CG10" s="77"/>
      <c r="CH10" s="77"/>
      <c r="CJ10" s="74" t="s">
        <v>211</v>
      </c>
      <c r="CK10" s="77"/>
      <c r="CL10" s="77"/>
      <c r="CN10" s="74" t="s">
        <v>211</v>
      </c>
      <c r="CO10" s="77"/>
      <c r="CP10" s="132">
        <f>CP9-CR18</f>
        <v>56939164.029999994</v>
      </c>
      <c r="CQ10" s="118" t="s">
        <v>526</v>
      </c>
      <c r="CR10" s="368">
        <f>CR9/CD17</f>
        <v>10.409167506492203</v>
      </c>
      <c r="CS10" s="72" t="s">
        <v>480</v>
      </c>
      <c r="CT10" s="72"/>
      <c r="CU10" s="132">
        <f>CU9-CW18</f>
        <v>55570220.669999994</v>
      </c>
      <c r="CV10" s="118" t="s">
        <v>526</v>
      </c>
      <c r="CW10" s="368">
        <f>CW9/CD17</f>
        <v>-8.1239072328910158</v>
      </c>
      <c r="CX10" s="118" t="s">
        <v>532</v>
      </c>
      <c r="CY10" s="77"/>
      <c r="CZ10" s="77"/>
      <c r="DB10" s="74" t="s">
        <v>211</v>
      </c>
      <c r="DC10" s="77"/>
      <c r="DD10" s="77"/>
      <c r="DE10" s="74"/>
      <c r="DF10" s="153"/>
      <c r="DG10" s="78"/>
      <c r="DH10" s="74" t="s">
        <v>211</v>
      </c>
      <c r="DI10" s="74"/>
      <c r="DJ10" s="184"/>
      <c r="DK10" s="184"/>
      <c r="DL10" s="77"/>
      <c r="DM10" s="77"/>
      <c r="DN10" s="74"/>
      <c r="DO10" s="153"/>
      <c r="DP10" s="78"/>
      <c r="DQ10" s="74" t="s">
        <v>211</v>
      </c>
      <c r="DR10" s="76"/>
      <c r="DS10" s="76"/>
      <c r="DT10" s="77"/>
      <c r="DU10" s="77"/>
      <c r="DV10" s="77"/>
      <c r="DW10" s="77"/>
      <c r="DX10" s="77"/>
      <c r="DY10" s="77"/>
      <c r="DZ10" s="77"/>
      <c r="EA10" s="74"/>
      <c r="EB10" s="153"/>
      <c r="EC10" s="78"/>
      <c r="ED10" s="74" t="s">
        <v>211</v>
      </c>
      <c r="EE10" s="92">
        <f>SUM(EE11:EE17)</f>
        <v>52440014.129999995</v>
      </c>
      <c r="EF10" s="76"/>
      <c r="EG10" s="77"/>
      <c r="EH10" s="77"/>
      <c r="EI10" s="77"/>
      <c r="EJ10" s="77"/>
      <c r="EK10" s="77"/>
      <c r="EL10" s="77"/>
      <c r="EM10" s="78"/>
      <c r="EN10" s="78"/>
      <c r="EO10" s="78"/>
      <c r="EP10" s="74" t="s">
        <v>211</v>
      </c>
      <c r="EQ10" s="92">
        <f>SUM(EQ11:EQ17)</f>
        <v>52496455.93</v>
      </c>
      <c r="ER10" s="76"/>
      <c r="ES10" s="78"/>
      <c r="ET10" s="74"/>
      <c r="EU10" s="77"/>
      <c r="EV10" s="77"/>
      <c r="EW10" s="77"/>
      <c r="EX10" s="78"/>
      <c r="EY10" s="78"/>
      <c r="EZ10" s="78"/>
      <c r="FA10" s="74" t="s">
        <v>211</v>
      </c>
      <c r="FB10" s="92">
        <f>SUM(FB11:FB17)</f>
        <v>52930724.07</v>
      </c>
      <c r="FC10" s="76"/>
      <c r="FD10" s="78"/>
      <c r="FE10" s="74"/>
      <c r="FF10" s="77"/>
      <c r="FG10" s="77"/>
      <c r="FH10" s="77"/>
      <c r="FI10" s="77"/>
      <c r="FJ10" s="77"/>
      <c r="FK10" s="78"/>
      <c r="FL10" s="78"/>
      <c r="FM10" s="74" t="s">
        <v>211</v>
      </c>
      <c r="FN10" s="92">
        <f>SUM(FN11:FN17)</f>
        <v>56226747.870000005</v>
      </c>
      <c r="FO10" s="92"/>
      <c r="FP10" s="92"/>
      <c r="FQ10" s="92"/>
      <c r="FR10" s="92"/>
      <c r="FS10" s="92"/>
      <c r="FT10" s="92"/>
      <c r="FU10" s="92"/>
      <c r="FV10" s="92"/>
      <c r="FW10" s="92"/>
      <c r="FX10" s="76"/>
      <c r="FY10" s="184" t="s">
        <v>211</v>
      </c>
      <c r="FZ10" s="184" t="s">
        <v>211</v>
      </c>
      <c r="GA10" s="184"/>
      <c r="GB10" s="184"/>
      <c r="GC10" s="18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T10" s="77"/>
      <c r="GU10" s="77"/>
      <c r="GV10" s="77"/>
      <c r="GW10" s="77"/>
      <c r="GX10" s="77"/>
      <c r="HA10" s="74"/>
      <c r="HB10" s="153"/>
      <c r="HC10" s="78"/>
      <c r="HD10" s="74" t="s">
        <v>211</v>
      </c>
      <c r="HE10" s="74"/>
      <c r="HF10" s="74"/>
      <c r="HG10" s="153"/>
      <c r="HH10" s="78"/>
      <c r="HI10" s="74" t="s">
        <v>211</v>
      </c>
      <c r="HJ10" s="74"/>
      <c r="HK10" s="74"/>
      <c r="HL10" s="153"/>
      <c r="HM10" s="78"/>
      <c r="HN10" s="74" t="s">
        <v>211</v>
      </c>
      <c r="HO10" s="74"/>
      <c r="HP10" s="74"/>
      <c r="HQ10" s="74"/>
      <c r="HS10" s="74" t="s">
        <v>211</v>
      </c>
      <c r="HU10" s="74"/>
      <c r="HV10" s="68" t="s">
        <v>212</v>
      </c>
      <c r="HW10" s="78" t="s">
        <v>213</v>
      </c>
      <c r="HX10" s="74" t="s">
        <v>211</v>
      </c>
      <c r="HY10" s="77"/>
      <c r="HZ10" s="68" t="s">
        <v>214</v>
      </c>
      <c r="IA10" s="78" t="s">
        <v>215</v>
      </c>
      <c r="IB10" s="74" t="s">
        <v>211</v>
      </c>
      <c r="IC10" s="74"/>
      <c r="ID10" s="68" t="s">
        <v>214</v>
      </c>
      <c r="IE10" s="78" t="s">
        <v>216</v>
      </c>
      <c r="IF10" s="74" t="s">
        <v>211</v>
      </c>
      <c r="IG10" s="77"/>
      <c r="IH10" s="68" t="s">
        <v>214</v>
      </c>
      <c r="II10" s="78" t="s">
        <v>217</v>
      </c>
      <c r="IJ10" s="74" t="s">
        <v>211</v>
      </c>
      <c r="IK10" s="76"/>
      <c r="IL10" s="77"/>
      <c r="IM10" s="68" t="s">
        <v>214</v>
      </c>
      <c r="IN10" s="78" t="s">
        <v>218</v>
      </c>
      <c r="IO10" s="74" t="s">
        <v>211</v>
      </c>
      <c r="IP10" s="76"/>
      <c r="IQ10" s="77"/>
      <c r="IR10" s="77"/>
      <c r="IS10" s="77"/>
      <c r="IT10" s="68" t="s">
        <v>214</v>
      </c>
      <c r="IU10" s="78" t="s">
        <v>219</v>
      </c>
      <c r="IV10" s="74" t="s">
        <v>211</v>
      </c>
      <c r="IW10" s="76"/>
      <c r="IX10" s="77"/>
      <c r="IY10" s="77"/>
      <c r="IZ10" s="77"/>
      <c r="JA10" s="77"/>
      <c r="JE10" s="74" t="s">
        <v>211</v>
      </c>
      <c r="JG10" s="74" t="s">
        <v>211</v>
      </c>
      <c r="JI10" s="74" t="s">
        <v>211</v>
      </c>
      <c r="JK10" s="74" t="s">
        <v>211</v>
      </c>
      <c r="JL10" s="74"/>
      <c r="JM10" s="74"/>
      <c r="JN10" s="74"/>
    </row>
    <row r="11" spans="1:288" ht="63" x14ac:dyDescent="0.25">
      <c r="A11" s="79" t="s">
        <v>220</v>
      </c>
      <c r="B11" s="80" t="s">
        <v>615</v>
      </c>
      <c r="C11" s="59" t="s">
        <v>221</v>
      </c>
      <c r="D11" s="187">
        <v>26712</v>
      </c>
      <c r="E11" s="187">
        <v>11016</v>
      </c>
      <c r="F11" s="187">
        <v>11016</v>
      </c>
      <c r="G11" s="187">
        <v>26712</v>
      </c>
      <c r="H11" s="187">
        <v>26712</v>
      </c>
      <c r="I11" s="81">
        <f>341.19+41.11+0.9</f>
        <v>383.2</v>
      </c>
      <c r="J11" s="81">
        <f>D11*I11</f>
        <v>10236038.4</v>
      </c>
      <c r="K11" s="81">
        <v>341.19</v>
      </c>
      <c r="L11" s="81">
        <f>G11*K11-29.31</f>
        <v>9113837.9699999988</v>
      </c>
      <c r="M11" s="81">
        <v>341.19</v>
      </c>
      <c r="N11" s="81">
        <f>H11*M11-29.31</f>
        <v>9113837.9699999988</v>
      </c>
      <c r="O11" s="82"/>
      <c r="P11" s="82"/>
      <c r="Q11" s="82"/>
      <c r="R11" s="181">
        <v>26712</v>
      </c>
      <c r="S11" s="97">
        <v>341.19</v>
      </c>
      <c r="T11" s="85">
        <f>S11*R11-29.31</f>
        <v>9113837.9699999988</v>
      </c>
      <c r="U11" s="82"/>
      <c r="V11" s="97">
        <f>341.19+41.11</f>
        <v>382.3</v>
      </c>
      <c r="W11" s="85">
        <f>V11*R11</f>
        <v>10211997.6</v>
      </c>
      <c r="X11" s="212">
        <f>X10/R17</f>
        <v>41.107735483637406</v>
      </c>
      <c r="Y11" s="212"/>
      <c r="Z11" s="212"/>
      <c r="AA11" s="212"/>
      <c r="AB11" s="212"/>
      <c r="AC11" s="212"/>
      <c r="AD11" s="212"/>
      <c r="AE11" s="21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181">
        <v>11016</v>
      </c>
      <c r="AT11" s="97">
        <v>279.39999999999998</v>
      </c>
      <c r="AU11" s="85">
        <f t="shared" ref="AU11:AU16" si="0">AT11*AS11</f>
        <v>3077870.4</v>
      </c>
      <c r="AV11" s="82"/>
      <c r="AW11" s="181">
        <v>11017</v>
      </c>
      <c r="AX11" s="97">
        <f>279.4-0.04</f>
        <v>279.35999999999996</v>
      </c>
      <c r="AY11" s="85">
        <f>AW11*AX11</f>
        <v>3077709.1199999996</v>
      </c>
      <c r="AZ11" s="82"/>
      <c r="BA11" s="181">
        <v>11018</v>
      </c>
      <c r="BB11" s="97">
        <f>279.4-0.05-0.02</f>
        <v>279.33</v>
      </c>
      <c r="BC11" s="85">
        <f>BA11*BB11</f>
        <v>3077657.94</v>
      </c>
      <c r="BD11" s="82"/>
      <c r="BE11" s="82"/>
      <c r="BF11" s="82"/>
      <c r="BG11" s="81">
        <f>AT11+$BH$9</f>
        <v>361.88257536156129</v>
      </c>
      <c r="BH11" s="85">
        <f>BG11*AS11</f>
        <v>3986498.4501829594</v>
      </c>
      <c r="BI11" s="82"/>
      <c r="BJ11" s="81">
        <f>AX11+BK10</f>
        <v>221.27763010819911</v>
      </c>
      <c r="BK11" s="85">
        <f>BJ11*AW11</f>
        <v>2437815.6509020296</v>
      </c>
      <c r="BL11" s="82"/>
      <c r="BM11" s="81">
        <f>BB11+$BN$10</f>
        <v>177.02823368358548</v>
      </c>
      <c r="BN11" s="85">
        <f>BM11*BA11</f>
        <v>1950497.078725745</v>
      </c>
      <c r="BO11" s="72"/>
      <c r="BP11" s="82"/>
      <c r="BQ11" s="82"/>
      <c r="BR11" s="81">
        <f>AT11+$BH$9</f>
        <v>361.88257536156129</v>
      </c>
      <c r="BS11" s="85">
        <f>BR11*AS11</f>
        <v>3986498.4501829594</v>
      </c>
      <c r="BT11" s="82"/>
      <c r="BU11" s="82"/>
      <c r="BV11" s="81">
        <f>AT11+$BH$9+$BW$10</f>
        <v>363.0783411744207</v>
      </c>
      <c r="BW11" s="85">
        <f>BV11*AS11</f>
        <v>3999671.0063774185</v>
      </c>
      <c r="BX11" s="82"/>
      <c r="BY11" s="82"/>
      <c r="BZ11" s="81">
        <f>BV11+$CA$10</f>
        <v>371.44959008538075</v>
      </c>
      <c r="CA11" s="85">
        <f>BZ11*AS11</f>
        <v>4091888.6843805541</v>
      </c>
      <c r="CB11" s="82"/>
      <c r="CC11" s="82"/>
      <c r="CD11" s="182">
        <f>11016+17568</f>
        <v>28584</v>
      </c>
      <c r="CE11" s="97">
        <f>279.4+48.07</f>
        <v>327.46999999999997</v>
      </c>
      <c r="CF11" s="85">
        <f t="shared" ref="CF11:CF16" si="1">CE11*CD11</f>
        <v>9360402.4799999986</v>
      </c>
      <c r="CG11" s="82"/>
      <c r="CH11" s="181">
        <f>11017+17569</f>
        <v>28586</v>
      </c>
      <c r="CI11" s="97">
        <f>279.4-0.04+9.65</f>
        <v>289.00999999999993</v>
      </c>
      <c r="CJ11" s="85">
        <f>CH11*CI11</f>
        <v>8261639.8599999985</v>
      </c>
      <c r="CK11" s="82"/>
      <c r="CL11" s="181">
        <f>11018+17570</f>
        <v>28588</v>
      </c>
      <c r="CM11" s="97">
        <f>279.4-0.05-0.02+9.65</f>
        <v>288.97999999999996</v>
      </c>
      <c r="CN11" s="85">
        <f>CL11*CM11</f>
        <v>8261360.2399999993</v>
      </c>
      <c r="CO11" s="82"/>
      <c r="CP11" s="82"/>
      <c r="CQ11" s="81">
        <f>CE11+$CR$10</f>
        <v>337.87916750649219</v>
      </c>
      <c r="CR11" s="85">
        <f>CQ11*CD11</f>
        <v>9657938.1240055729</v>
      </c>
      <c r="CS11" s="82"/>
      <c r="CT11" s="82"/>
      <c r="CU11" s="82"/>
      <c r="CV11" s="81">
        <f>CQ11+$CW$10</f>
        <v>329.75526027360115</v>
      </c>
      <c r="CW11" s="85">
        <f>CV11*CD11</f>
        <v>9425724.3596606161</v>
      </c>
      <c r="CX11" s="82"/>
      <c r="CY11" s="82"/>
      <c r="CZ11" s="181">
        <v>9720</v>
      </c>
      <c r="DA11" s="97">
        <v>266.89999999999998</v>
      </c>
      <c r="DB11" s="85">
        <f t="shared" ref="DB11:DB16" si="2">DA11*CZ11</f>
        <v>2594268</v>
      </c>
      <c r="DC11" s="82"/>
      <c r="DD11" s="82"/>
      <c r="DE11" s="153" t="s">
        <v>349</v>
      </c>
      <c r="DF11" s="369">
        <f>DJ11+DJ12+DJ13+DJ14</f>
        <v>17873470.350000001</v>
      </c>
      <c r="DG11" s="370">
        <v>266.89999999999998</v>
      </c>
      <c r="DH11" s="85">
        <f>DG11*CZ11</f>
        <v>2594268</v>
      </c>
      <c r="DI11" s="72"/>
      <c r="DJ11" s="85">
        <v>1733600</v>
      </c>
      <c r="DK11" s="185" t="s">
        <v>351</v>
      </c>
      <c r="DL11" s="82"/>
      <c r="DM11" s="82"/>
      <c r="DN11" s="153" t="s">
        <v>349</v>
      </c>
      <c r="DO11" s="369">
        <f>DR11+DR12+DR13+DR14</f>
        <v>22351690.350000001</v>
      </c>
      <c r="DP11" s="84">
        <f>$DG$11+69.8</f>
        <v>336.7</v>
      </c>
      <c r="DQ11" s="85">
        <f t="shared" ref="DQ11:DQ16" si="3">DP11*CZ11</f>
        <v>3272724</v>
      </c>
      <c r="DR11" s="85">
        <v>1733600</v>
      </c>
      <c r="DS11" s="185" t="s">
        <v>351</v>
      </c>
      <c r="DT11" s="82"/>
      <c r="DU11" s="82"/>
      <c r="DV11" s="84">
        <f>$DG$11+70.74</f>
        <v>337.64</v>
      </c>
      <c r="DW11" s="85">
        <f>DV11*CZ11</f>
        <v>3281860.8</v>
      </c>
      <c r="DX11" s="82"/>
      <c r="DY11" s="82"/>
      <c r="DZ11" s="82"/>
      <c r="EA11" s="153" t="s">
        <v>349</v>
      </c>
      <c r="EB11" s="369">
        <f>EE11+EE12+EE13+EE14</f>
        <v>24047729.91</v>
      </c>
      <c r="EC11" s="84">
        <f>$DG$11+70.74+25.8</f>
        <v>363.44</v>
      </c>
      <c r="ED11" s="85">
        <f>EC11*$CZ$11</f>
        <v>3532636.8</v>
      </c>
      <c r="EE11" s="85">
        <v>1733600</v>
      </c>
      <c r="EF11" s="185" t="s">
        <v>351</v>
      </c>
      <c r="EG11" s="78"/>
      <c r="EH11" s="78"/>
      <c r="EI11" s="78"/>
      <c r="EJ11" s="78"/>
      <c r="EK11" s="78"/>
      <c r="EL11" s="78"/>
      <c r="EM11" s="153" t="s">
        <v>349</v>
      </c>
      <c r="EN11" s="369">
        <f>EQ11+EQ12+EQ13+EQ14</f>
        <v>24104171.710000001</v>
      </c>
      <c r="EO11" s="84">
        <f>$DG$11+70.74+25.8+0.88</f>
        <v>364.32</v>
      </c>
      <c r="EP11" s="85">
        <f>EO11*$CZ$11</f>
        <v>3541190.4</v>
      </c>
      <c r="EQ11" s="85">
        <v>1790041.8</v>
      </c>
      <c r="ER11" s="185" t="s">
        <v>351</v>
      </c>
      <c r="ES11" s="92"/>
      <c r="ET11" s="72"/>
      <c r="EU11" s="78"/>
      <c r="EV11" s="78"/>
      <c r="EW11" s="78"/>
      <c r="EX11" s="153" t="s">
        <v>349</v>
      </c>
      <c r="EY11" s="369">
        <f>FB11+FB12+FB13+FB14</f>
        <v>24104171.710000001</v>
      </c>
      <c r="EZ11" s="84">
        <f>$DG$11+70.74+25.8+0.88</f>
        <v>364.32</v>
      </c>
      <c r="FA11" s="85">
        <f>EZ11*$CZ$11</f>
        <v>3541190.4</v>
      </c>
      <c r="FB11" s="85">
        <v>1790041.8</v>
      </c>
      <c r="FC11" s="185" t="s">
        <v>351</v>
      </c>
      <c r="FD11" s="92"/>
      <c r="FE11" s="72"/>
      <c r="FF11" s="78"/>
      <c r="FG11" s="78"/>
      <c r="FH11" s="78"/>
      <c r="FI11" s="78"/>
      <c r="FJ11" s="153" t="s">
        <v>349</v>
      </c>
      <c r="FK11" s="369">
        <f>FN11+FN12+FN13+FN14+0.06</f>
        <v>28972374.57</v>
      </c>
      <c r="FL11" s="84">
        <f>$DG$11+70.74+25.8+0.88+75.89</f>
        <v>440.21</v>
      </c>
      <c r="FM11" s="85">
        <f>FL11*$CZ$11</f>
        <v>4278841.2</v>
      </c>
      <c r="FN11" s="85">
        <v>1790041.8</v>
      </c>
      <c r="FO11" s="185" t="s">
        <v>351</v>
      </c>
      <c r="FP11" s="78"/>
      <c r="FQ11" s="78"/>
      <c r="FR11" s="78"/>
      <c r="FS11" s="78"/>
      <c r="FT11" s="78"/>
      <c r="FU11" s="78"/>
      <c r="FV11" s="78"/>
      <c r="FW11" s="191" t="s">
        <v>413</v>
      </c>
      <c r="FX11" s="96">
        <f>9720-4536</f>
        <v>5184</v>
      </c>
      <c r="FY11" s="81">
        <f>364.32+263.61</f>
        <v>627.93000000000006</v>
      </c>
      <c r="FZ11" s="85">
        <f t="shared" ref="FZ11:FZ16" si="4">FY11*FX11</f>
        <v>3255189.12</v>
      </c>
      <c r="GA11" s="97">
        <v>266.89999999999998</v>
      </c>
      <c r="GB11" s="81">
        <f>266.9+113.87</f>
        <v>380.77</v>
      </c>
      <c r="GC11" s="85">
        <f>GB11*FX11</f>
        <v>1973911.68</v>
      </c>
      <c r="GD11" s="72"/>
      <c r="GE11" s="72"/>
      <c r="GF11" s="72"/>
      <c r="GG11" s="72"/>
      <c r="GH11" s="171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T11" s="92"/>
      <c r="GU11" s="72"/>
      <c r="GV11" s="78"/>
      <c r="GW11" s="78"/>
      <c r="GX11" s="78"/>
      <c r="GY11" s="88"/>
      <c r="GZ11" s="82"/>
      <c r="HA11" s="153" t="s">
        <v>274</v>
      </c>
      <c r="HB11" s="369">
        <v>32825669</v>
      </c>
      <c r="HC11" s="370">
        <f>GU11+$HC$9</f>
        <v>18.9381585</v>
      </c>
      <c r="HD11" s="85">
        <f>HC11*GT11</f>
        <v>0</v>
      </c>
      <c r="HE11" s="72"/>
      <c r="HF11" s="153" t="s">
        <v>274</v>
      </c>
      <c r="HG11" s="369">
        <v>32943694.59</v>
      </c>
      <c r="HH11" s="370">
        <f>HC11+$HH$9</f>
        <v>20.845365399999999</v>
      </c>
      <c r="HI11" s="85">
        <f>HH11*GT11</f>
        <v>0</v>
      </c>
      <c r="HJ11" s="72"/>
      <c r="HK11" s="153" t="s">
        <v>274</v>
      </c>
      <c r="HL11" s="369">
        <v>33542327.59</v>
      </c>
      <c r="HM11" s="370">
        <f>HH11+$HM$9</f>
        <v>30.518835099999997</v>
      </c>
      <c r="HN11" s="85">
        <f>HM11*GT11</f>
        <v>0</v>
      </c>
      <c r="HO11" s="72"/>
      <c r="HP11" s="72"/>
      <c r="HQ11" s="72"/>
      <c r="HR11" s="83">
        <v>347.2314878358751</v>
      </c>
      <c r="HS11" s="91">
        <v>3825102.07</v>
      </c>
      <c r="HT11" s="82"/>
      <c r="HU11" s="82"/>
      <c r="HV11" s="132">
        <f>33417035.12-4916897.38</f>
        <v>28500137.740000002</v>
      </c>
      <c r="HW11" s="84" t="e">
        <f t="shared" ref="HW11:HW15" si="5">HX11/HD11</f>
        <v>#DIV/0!</v>
      </c>
      <c r="HX11" s="85">
        <f>HS11+$HD$9+0.02</f>
        <v>3825102.09</v>
      </c>
      <c r="HY11" s="82"/>
      <c r="HZ11" s="132">
        <f>34422689.12-4916897.38</f>
        <v>29505791.739999998</v>
      </c>
      <c r="IA11" s="84" t="e">
        <f t="shared" ref="IA11:IA15" si="6">IB11/GT11</f>
        <v>#DIV/0!</v>
      </c>
      <c r="IB11" s="85">
        <f>HD11+$IB$9</f>
        <v>167609</v>
      </c>
      <c r="IC11" s="72"/>
      <c r="ID11" s="132">
        <f>34259407.28-4916897.38</f>
        <v>29342509.900000002</v>
      </c>
      <c r="IE11" s="84" t="e">
        <f t="shared" ref="IE11:IE15" si="7">IF11/GT11</f>
        <v>#DIV/0!</v>
      </c>
      <c r="IF11" s="85">
        <f>IB11+$IF$9</f>
        <v>140395.35999999999</v>
      </c>
      <c r="IG11" s="82"/>
      <c r="IH11" s="132">
        <f>II9-4916897.38</f>
        <v>29893262.900000002</v>
      </c>
      <c r="II11" s="84" t="e">
        <f t="shared" ref="II11:II15" si="8">IJ11/GT11</f>
        <v>#DIV/0!</v>
      </c>
      <c r="IJ11" s="86">
        <f>IF11+$IJ$9</f>
        <v>232187.52999999997</v>
      </c>
      <c r="IK11" s="81" t="e">
        <f>II11-IE11</f>
        <v>#DIV/0!</v>
      </c>
      <c r="IL11" s="82" t="e">
        <f>IE11+IK11</f>
        <v>#DIV/0!</v>
      </c>
      <c r="IM11" s="132">
        <f>IN9-4916897.38</f>
        <v>31171016.900000002</v>
      </c>
      <c r="IN11" s="84" t="e">
        <f t="shared" ref="IN11:IN15" si="9">IO11/GT11</f>
        <v>#DIV/0!</v>
      </c>
      <c r="IO11" s="86">
        <f>IJ11+$IO$9</f>
        <v>445146.52999999997</v>
      </c>
      <c r="IP11" s="81" t="e">
        <f>IN11-II11</f>
        <v>#DIV/0!</v>
      </c>
      <c r="IQ11" s="82" t="e">
        <f>II11+IP11</f>
        <v>#DIV/0!</v>
      </c>
      <c r="IR11" s="82"/>
      <c r="IS11" s="82"/>
      <c r="IT11" s="132">
        <f>IU9-4916897.38</f>
        <v>31766165.580000002</v>
      </c>
      <c r="IU11" s="84" t="e">
        <f t="shared" ref="IU11:IU15" si="10">IV11/GT11</f>
        <v>#DIV/0!</v>
      </c>
      <c r="IV11" s="86">
        <f>IO11+$IV$9</f>
        <v>544337.97399999993</v>
      </c>
      <c r="IW11" s="81" t="e">
        <f>IU11-IP11</f>
        <v>#DIV/0!</v>
      </c>
      <c r="IX11" s="82" t="e">
        <f>IP11+IW11</f>
        <v>#DIV/0!</v>
      </c>
      <c r="IY11" s="82"/>
      <c r="IZ11" s="82"/>
      <c r="JA11" s="82"/>
      <c r="JB11" s="87">
        <v>221.75</v>
      </c>
      <c r="JC11" s="169">
        <v>21600</v>
      </c>
      <c r="JD11" s="88">
        <v>199</v>
      </c>
      <c r="JE11" s="89">
        <v>4298400</v>
      </c>
      <c r="JF11" s="88">
        <f t="shared" ref="JF11:JF16" si="11">JG11/JC11</f>
        <v>207.46274675925926</v>
      </c>
      <c r="JG11" s="89">
        <f t="shared" ref="JG11:JG16" si="12">JE11+$JG$9</f>
        <v>4481195.33</v>
      </c>
      <c r="JH11" s="88">
        <f t="shared" ref="JH11:JH16" si="13">JI11/JC11</f>
        <v>220.83825601851854</v>
      </c>
      <c r="JI11" s="89">
        <f>JG11+$JI$9</f>
        <v>4770106.33</v>
      </c>
      <c r="JJ11" s="88">
        <f t="shared" ref="JJ11:JJ16" si="14">JK11/JC11</f>
        <v>221.36449058657408</v>
      </c>
      <c r="JK11" s="89">
        <f>JI11+$JK$9</f>
        <v>4781472.9966700003</v>
      </c>
      <c r="JL11" s="88">
        <f t="shared" ref="JL11:JL16" si="15">JM11/JC11</f>
        <v>221.75029305555555</v>
      </c>
      <c r="JM11" s="89">
        <f>JK11+$JM$9</f>
        <v>4789806.33</v>
      </c>
      <c r="JN11" s="89"/>
    </row>
    <row r="12" spans="1:288" ht="60" x14ac:dyDescent="0.25">
      <c r="A12" s="79" t="s">
        <v>220</v>
      </c>
      <c r="B12" s="80" t="s">
        <v>222</v>
      </c>
      <c r="C12" s="59" t="s">
        <v>221</v>
      </c>
      <c r="D12" s="187">
        <v>27504</v>
      </c>
      <c r="E12" s="187">
        <v>10620</v>
      </c>
      <c r="F12" s="187">
        <v>10620</v>
      </c>
      <c r="G12" s="187">
        <v>27504</v>
      </c>
      <c r="H12" s="187">
        <v>27504</v>
      </c>
      <c r="I12" s="81">
        <f>341.23+41.11+0.9</f>
        <v>383.24</v>
      </c>
      <c r="J12" s="81">
        <f t="shared" ref="J12:J16" si="16">D12*I12</f>
        <v>10540632.960000001</v>
      </c>
      <c r="K12" s="81">
        <v>341.23</v>
      </c>
      <c r="L12" s="81">
        <f t="shared" ref="L12:L16" si="17">G12*K12</f>
        <v>9385189.9199999999</v>
      </c>
      <c r="M12" s="81">
        <v>341.23</v>
      </c>
      <c r="N12" s="81">
        <f t="shared" ref="N12:N16" si="18">H12*M12</f>
        <v>9385189.9199999999</v>
      </c>
      <c r="O12" s="90"/>
      <c r="P12" s="90"/>
      <c r="Q12" s="90"/>
      <c r="R12" s="181">
        <v>27504</v>
      </c>
      <c r="S12" s="85">
        <v>341.23</v>
      </c>
      <c r="T12" s="85">
        <f t="shared" ref="T12:T16" si="19">S12*R12</f>
        <v>9385189.9199999999</v>
      </c>
      <c r="U12" s="90"/>
      <c r="V12" s="85">
        <f>341.23+41.11</f>
        <v>382.34000000000003</v>
      </c>
      <c r="W12" s="85">
        <f>V12*R12</f>
        <v>10515879.360000001</v>
      </c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181">
        <v>10620</v>
      </c>
      <c r="AT12" s="85">
        <v>279.41000000000003</v>
      </c>
      <c r="AU12" s="85">
        <f t="shared" si="0"/>
        <v>2967334.2</v>
      </c>
      <c r="AV12" s="90"/>
      <c r="AW12" s="181">
        <v>10621</v>
      </c>
      <c r="AX12" s="81">
        <f>279.41-0.02</f>
        <v>279.39000000000004</v>
      </c>
      <c r="AY12" s="85">
        <f t="shared" ref="AY12:AY16" si="20">AW12*AX12</f>
        <v>2967401.1900000004</v>
      </c>
      <c r="AZ12" s="90"/>
      <c r="BA12" s="181">
        <v>10622</v>
      </c>
      <c r="BB12" s="81">
        <f>279.41-0.04</f>
        <v>279.37</v>
      </c>
      <c r="BC12" s="85">
        <f t="shared" ref="BC12:BC16" si="21">BA12*BB12</f>
        <v>2967468.14</v>
      </c>
      <c r="BD12" s="90"/>
      <c r="BE12" s="90"/>
      <c r="BF12" s="90"/>
      <c r="BG12" s="81">
        <f t="shared" ref="BG12:BG16" si="22">AT12+$BH$9</f>
        <v>361.89257536156134</v>
      </c>
      <c r="BH12" s="85">
        <f t="shared" ref="BH12:BH16" si="23">BG12*AS12</f>
        <v>3843299.1503397813</v>
      </c>
      <c r="BI12" s="90"/>
      <c r="BJ12" s="81">
        <f>AX12+BK10</f>
        <v>221.30763010819919</v>
      </c>
      <c r="BK12" s="85">
        <f t="shared" ref="BK12:BK16" si="24">BJ12*AW12</f>
        <v>2350508.3393791835</v>
      </c>
      <c r="BL12" s="90"/>
      <c r="BM12" s="81">
        <f t="shared" ref="BM12:BM16" si="25">BB12+$BN$10</f>
        <v>177.0682336835855</v>
      </c>
      <c r="BN12" s="85">
        <f t="shared" ref="BN12:BN16" si="26">BM12*BA12</f>
        <v>1880818.7781870451</v>
      </c>
      <c r="BO12" s="72"/>
      <c r="BP12" s="90"/>
      <c r="BQ12" s="90"/>
      <c r="BR12" s="81">
        <f t="shared" ref="BR12:BR16" si="27">AT12+$BH$9</f>
        <v>361.89257536156134</v>
      </c>
      <c r="BS12" s="85">
        <f t="shared" ref="BS12:BS16" si="28">BR12*AS12</f>
        <v>3843299.1503397813</v>
      </c>
      <c r="BT12" s="90"/>
      <c r="BU12" s="90"/>
      <c r="BV12" s="81">
        <f>AT12+$BH$9+$BW$10</f>
        <v>363.08834117442075</v>
      </c>
      <c r="BW12" s="85">
        <f t="shared" ref="BW12:BW16" si="29">BV12*AS12</f>
        <v>3855998.1832723483</v>
      </c>
      <c r="BX12" s="90"/>
      <c r="BY12" s="90"/>
      <c r="BZ12" s="81">
        <f t="shared" ref="BZ12:BZ16" si="30">BV12+$CA$10</f>
        <v>371.4595900853808</v>
      </c>
      <c r="CA12" s="85">
        <f t="shared" ref="CA12:CA16" si="31">BZ12*AS12</f>
        <v>3944900.8467067443</v>
      </c>
      <c r="CB12" s="90"/>
      <c r="CC12" s="90"/>
      <c r="CD12" s="182">
        <f>10620+17784</f>
        <v>28404</v>
      </c>
      <c r="CE12" s="85">
        <f>279.41+48.07</f>
        <v>327.48</v>
      </c>
      <c r="CF12" s="85">
        <f t="shared" si="1"/>
        <v>9301741.9199999999</v>
      </c>
      <c r="CG12" s="90"/>
      <c r="CH12" s="181">
        <f>10621+17785</f>
        <v>28406</v>
      </c>
      <c r="CI12" s="81">
        <f>279.41-0.02+9.65</f>
        <v>289.04000000000002</v>
      </c>
      <c r="CJ12" s="85">
        <f t="shared" ref="CJ12:CJ16" si="32">CH12*CI12</f>
        <v>8210470.2400000002</v>
      </c>
      <c r="CK12" s="90"/>
      <c r="CL12" s="181">
        <f>10622+17786</f>
        <v>28408</v>
      </c>
      <c r="CM12" s="81">
        <f>279.41-0.04+9.65</f>
        <v>289.02</v>
      </c>
      <c r="CN12" s="85">
        <f t="shared" ref="CN12:CN16" si="33">CL12*CM12</f>
        <v>8210480.1599999992</v>
      </c>
      <c r="CO12" s="90"/>
      <c r="CP12" s="90"/>
      <c r="CQ12" s="81">
        <f t="shared" ref="CQ12:CQ16" si="34">CE12+$CR$10</f>
        <v>337.88916750649224</v>
      </c>
      <c r="CR12" s="85">
        <f t="shared" ref="CR12:CR16" si="35">CQ12*CD12</f>
        <v>9597403.9138544053</v>
      </c>
      <c r="CS12" s="90"/>
      <c r="CT12" s="90"/>
      <c r="CU12" s="90"/>
      <c r="CV12" s="81">
        <f>CQ12+$CW$10</f>
        <v>329.7652602736012</v>
      </c>
      <c r="CW12" s="85">
        <f t="shared" ref="CW12:CW16" si="36">CV12*CD12</f>
        <v>9366652.4528113678</v>
      </c>
      <c r="CX12" s="90"/>
      <c r="CY12" s="90"/>
      <c r="CZ12" s="181">
        <v>9468</v>
      </c>
      <c r="DA12" s="85">
        <v>266.93</v>
      </c>
      <c r="DB12" s="85">
        <f t="shared" si="2"/>
        <v>2527293.2400000002</v>
      </c>
      <c r="DC12" s="72"/>
      <c r="DD12" s="72"/>
      <c r="DE12" s="153" t="s">
        <v>353</v>
      </c>
      <c r="DF12" s="369">
        <v>763350.6</v>
      </c>
      <c r="DG12" s="370">
        <v>266.93</v>
      </c>
      <c r="DH12" s="85">
        <f t="shared" ref="DH12:DH16" si="37">DG12*CZ12</f>
        <v>2527293.2400000002</v>
      </c>
      <c r="DI12" s="72"/>
      <c r="DJ12" s="85">
        <v>3665300</v>
      </c>
      <c r="DK12" s="185" t="s">
        <v>350</v>
      </c>
      <c r="DL12" s="72"/>
      <c r="DM12" s="72"/>
      <c r="DN12" s="153" t="s">
        <v>353</v>
      </c>
      <c r="DO12" s="369">
        <v>763350.6</v>
      </c>
      <c r="DP12" s="371">
        <f>$DG$12+69.79416</f>
        <v>336.72415999999998</v>
      </c>
      <c r="DQ12" s="85">
        <f t="shared" si="3"/>
        <v>3188104.3468799996</v>
      </c>
      <c r="DR12" s="85">
        <v>3824352</v>
      </c>
      <c r="DS12" s="85" t="s">
        <v>350</v>
      </c>
      <c r="DT12" s="72"/>
      <c r="DU12" s="72"/>
      <c r="DV12" s="372">
        <f>$DG$12+70.735832</f>
        <v>337.66583200000002</v>
      </c>
      <c r="DW12" s="85">
        <f t="shared" ref="DW12:DW16" si="38">DV12*CZ12</f>
        <v>3197020.0973760001</v>
      </c>
      <c r="DX12" s="72"/>
      <c r="DY12" s="90"/>
      <c r="DZ12" s="90"/>
      <c r="EA12" s="153" t="s">
        <v>353</v>
      </c>
      <c r="EB12" s="369">
        <v>763350.6</v>
      </c>
      <c r="EC12" s="372">
        <f>$DG$12+70.735832+23.796709</f>
        <v>361.46254100000004</v>
      </c>
      <c r="ED12" s="85">
        <f>EC12*$CZ$12</f>
        <v>3422327.3381880005</v>
      </c>
      <c r="EE12" s="85">
        <v>3824352</v>
      </c>
      <c r="EF12" s="85" t="s">
        <v>350</v>
      </c>
      <c r="EG12" s="72"/>
      <c r="EH12" s="72"/>
      <c r="EI12" s="72"/>
      <c r="EJ12" s="72"/>
      <c r="EK12" s="72"/>
      <c r="EL12" s="72"/>
      <c r="EM12" s="153" t="s">
        <v>353</v>
      </c>
      <c r="EN12" s="369">
        <v>763366.65</v>
      </c>
      <c r="EO12" s="372">
        <f>$DG$12+70.735832+23.796709+0.878737</f>
        <v>362.34127800000005</v>
      </c>
      <c r="EP12" s="85">
        <f>EO12*$CZ$12</f>
        <v>3430647.2201040005</v>
      </c>
      <c r="EQ12" s="85">
        <v>3824352</v>
      </c>
      <c r="ER12" s="85" t="s">
        <v>350</v>
      </c>
      <c r="ES12" s="173"/>
      <c r="ET12" s="72"/>
      <c r="EU12" s="72"/>
      <c r="EV12" s="72"/>
      <c r="EW12" s="72"/>
      <c r="EX12" s="153" t="s">
        <v>353</v>
      </c>
      <c r="EY12" s="369">
        <v>763366.65</v>
      </c>
      <c r="EZ12" s="372">
        <f>$DG$12+70.735832+23.796709+0.878737</f>
        <v>362.34127800000005</v>
      </c>
      <c r="FA12" s="85">
        <f>EZ12*$CZ$12</f>
        <v>3430647.2201040005</v>
      </c>
      <c r="FB12" s="85">
        <v>3824352</v>
      </c>
      <c r="FC12" s="85" t="s">
        <v>350</v>
      </c>
      <c r="FD12" s="173"/>
      <c r="FE12" s="72"/>
      <c r="FF12" s="72"/>
      <c r="FG12" s="72"/>
      <c r="FH12" s="72"/>
      <c r="FI12" s="72"/>
      <c r="FJ12" s="153" t="s">
        <v>353</v>
      </c>
      <c r="FK12" s="369">
        <v>763366.65</v>
      </c>
      <c r="FL12" s="186">
        <f>$DG$12+70.735832+23.796709+0.878737+75.892879</f>
        <v>438.23415700000004</v>
      </c>
      <c r="FM12" s="85">
        <f>FL12*$CZ$12</f>
        <v>4149200.9984760005</v>
      </c>
      <c r="FN12" s="85">
        <v>3824352</v>
      </c>
      <c r="FO12" s="85" t="s">
        <v>350</v>
      </c>
      <c r="FP12" s="72"/>
      <c r="FQ12" s="72"/>
      <c r="FR12" s="72"/>
      <c r="FS12" s="72"/>
      <c r="FT12" s="72"/>
      <c r="FU12" s="72"/>
      <c r="FV12" s="72"/>
      <c r="FW12" s="191" t="s">
        <v>307</v>
      </c>
      <c r="FX12" s="96">
        <f>9468-3276</f>
        <v>6192</v>
      </c>
      <c r="FY12" s="373">
        <f>362.34+263.61</f>
        <v>625.95000000000005</v>
      </c>
      <c r="FZ12" s="85">
        <f t="shared" si="4"/>
        <v>3875882.4000000004</v>
      </c>
      <c r="GA12" s="97">
        <f>266.93</f>
        <v>266.93</v>
      </c>
      <c r="GB12" s="81">
        <f>266.93+113.87</f>
        <v>380.8</v>
      </c>
      <c r="GC12" s="85">
        <f t="shared" ref="GC12:GC16" si="39">GB12*FX12</f>
        <v>2357913.6000000001</v>
      </c>
      <c r="GD12" s="72"/>
      <c r="GE12" s="72"/>
      <c r="GF12" s="72"/>
      <c r="GG12" s="72"/>
      <c r="GH12" s="171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T12" s="173"/>
      <c r="GU12" s="72"/>
      <c r="GV12" s="72"/>
      <c r="GW12" s="72"/>
      <c r="GX12" s="72"/>
      <c r="GY12" s="88"/>
      <c r="GZ12" s="90"/>
      <c r="HA12" s="153" t="s">
        <v>273</v>
      </c>
      <c r="HB12" s="369">
        <v>8330911.2800000003</v>
      </c>
      <c r="HC12" s="370">
        <f t="shared" ref="HC12:HC16" si="40">GU12+$HC$9</f>
        <v>18.9381585</v>
      </c>
      <c r="HD12" s="85">
        <f t="shared" ref="HD12:HD16" si="41">HC12*GT12</f>
        <v>0</v>
      </c>
      <c r="HE12" s="72"/>
      <c r="HF12" s="153" t="s">
        <v>273</v>
      </c>
      <c r="HG12" s="369">
        <v>8330911.2800000003</v>
      </c>
      <c r="HH12" s="370">
        <f t="shared" ref="HH12:HH16" si="42">HC12+$HH$9</f>
        <v>20.845365399999999</v>
      </c>
      <c r="HI12" s="85">
        <f t="shared" ref="HI12:HI16" si="43">HH12*GT12</f>
        <v>0</v>
      </c>
      <c r="HJ12" s="72"/>
      <c r="HK12" s="153" t="s">
        <v>273</v>
      </c>
      <c r="HL12" s="369">
        <v>8330911.2800000003</v>
      </c>
      <c r="HM12" s="370">
        <f t="shared" ref="HM12:HM16" si="44">HH12+$HM$9</f>
        <v>30.518835099999997</v>
      </c>
      <c r="HN12" s="85">
        <f t="shared" ref="HN12:HN16" si="45">HM12*GT12</f>
        <v>0</v>
      </c>
      <c r="HO12" s="72"/>
      <c r="HP12" s="72"/>
      <c r="HQ12" s="72"/>
      <c r="HR12" s="83">
        <v>407.30630218855219</v>
      </c>
      <c r="HS12" s="91">
        <v>2903279.3220000002</v>
      </c>
      <c r="HT12" s="90"/>
      <c r="HU12" s="90"/>
      <c r="HV12" s="92" t="e">
        <f>(HV11-#REF!)/6</f>
        <v>#REF!</v>
      </c>
      <c r="HW12" s="84" t="e">
        <f t="shared" si="5"/>
        <v>#DIV/0!</v>
      </c>
      <c r="HX12" s="85">
        <f t="shared" ref="HX12:HX15" si="46">HS12+$HD$9</f>
        <v>2903279.3220000002</v>
      </c>
      <c r="HY12" s="90"/>
      <c r="HZ12" s="92">
        <f>(HZ11-HB13)/6</f>
        <v>835172.33666666655</v>
      </c>
      <c r="IA12" s="84" t="e">
        <f t="shared" si="6"/>
        <v>#DIV/0!</v>
      </c>
      <c r="IB12" s="85">
        <f>HD12+$IB$9</f>
        <v>167609</v>
      </c>
      <c r="IC12" s="72"/>
      <c r="ID12" s="92">
        <f>(ID11-HZ11)/6</f>
        <v>-27213.639999999355</v>
      </c>
      <c r="IE12" s="84" t="e">
        <f t="shared" si="7"/>
        <v>#DIV/0!</v>
      </c>
      <c r="IF12" s="85">
        <f t="shared" ref="IF12:IF15" si="47">IB12+$IF$9</f>
        <v>140395.35999999999</v>
      </c>
      <c r="IG12" s="90"/>
      <c r="IH12" s="92">
        <f>(IH11-ID11)/6</f>
        <v>91792.166666666672</v>
      </c>
      <c r="II12" s="84" t="e">
        <f t="shared" si="8"/>
        <v>#DIV/0!</v>
      </c>
      <c r="IJ12" s="86">
        <f t="shared" ref="IJ12:IJ15" si="48">IF12+$IJ$9</f>
        <v>232187.52999999997</v>
      </c>
      <c r="IK12" s="81" t="e">
        <f t="shared" ref="IK12:IK15" si="49">II12-IE12</f>
        <v>#DIV/0!</v>
      </c>
      <c r="IL12" s="90"/>
      <c r="IM12" s="92">
        <f>(IM11-IH11)/6</f>
        <v>212959</v>
      </c>
      <c r="IN12" s="84" t="e">
        <f t="shared" si="9"/>
        <v>#DIV/0!</v>
      </c>
      <c r="IO12" s="86">
        <f t="shared" ref="IO12:IO15" si="50">IJ12+$IO$9</f>
        <v>445146.52999999997</v>
      </c>
      <c r="IP12" s="81" t="e">
        <f t="shared" ref="IP12:IP15" si="51">IN12-II12</f>
        <v>#DIV/0!</v>
      </c>
      <c r="IQ12" s="90"/>
      <c r="IR12" s="90"/>
      <c r="IS12" s="90"/>
      <c r="IT12" s="200">
        <f>(IT11-IM11)/6</f>
        <v>99191.446666666612</v>
      </c>
      <c r="IU12" s="84" t="e">
        <f t="shared" si="10"/>
        <v>#DIV/0!</v>
      </c>
      <c r="IV12" s="86">
        <f t="shared" ref="IV12:IV15" si="52">IO12+$IV$9</f>
        <v>544337.97399999993</v>
      </c>
      <c r="IW12" s="81" t="e">
        <f t="shared" ref="IW12:IW15" si="53">IU12-IP12</f>
        <v>#DIV/0!</v>
      </c>
      <c r="IX12" s="90"/>
      <c r="IY12" s="90"/>
      <c r="IZ12" s="90"/>
      <c r="JA12" s="90"/>
      <c r="JB12" s="87">
        <v>229.88</v>
      </c>
      <c r="JC12" s="169">
        <v>15696</v>
      </c>
      <c r="JD12" s="88">
        <v>198.58</v>
      </c>
      <c r="JE12" s="89">
        <v>3116836.4</v>
      </c>
      <c r="JF12" s="88">
        <f t="shared" si="11"/>
        <v>210.22118565239552</v>
      </c>
      <c r="JG12" s="89">
        <f t="shared" si="12"/>
        <v>3299631.73</v>
      </c>
      <c r="JH12" s="88">
        <f t="shared" si="13"/>
        <v>228.6278497706422</v>
      </c>
      <c r="JI12" s="89">
        <f t="shared" ref="JI12:JI16" si="54">JG12+$JI$9</f>
        <v>3588542.73</v>
      </c>
      <c r="JJ12" s="88">
        <f t="shared" si="14"/>
        <v>229.35202578172783</v>
      </c>
      <c r="JK12" s="89">
        <f t="shared" ref="JK12:JK16" si="55">JI12+$JK$9</f>
        <v>3599909.3966700002</v>
      </c>
      <c r="JL12" s="88">
        <f t="shared" si="15"/>
        <v>229.88294661060144</v>
      </c>
      <c r="JM12" s="89">
        <f t="shared" ref="JM12:JM16" si="56">JK12+$JM$9</f>
        <v>3608242.73</v>
      </c>
      <c r="JN12" s="89"/>
    </row>
    <row r="13" spans="1:288" ht="60" x14ac:dyDescent="0.25">
      <c r="A13" s="79" t="s">
        <v>220</v>
      </c>
      <c r="B13" s="80" t="s">
        <v>613</v>
      </c>
      <c r="C13" s="59" t="s">
        <v>221</v>
      </c>
      <c r="D13" s="187">
        <v>11376</v>
      </c>
      <c r="E13" s="187">
        <v>10080</v>
      </c>
      <c r="F13" s="187">
        <v>10080</v>
      </c>
      <c r="G13" s="187">
        <v>11376</v>
      </c>
      <c r="H13" s="187">
        <v>11376</v>
      </c>
      <c r="I13" s="81">
        <f>341.18+41.11+0.0236662+0.972996</f>
        <v>383.28666220000002</v>
      </c>
      <c r="J13" s="81">
        <f>D13*I13</f>
        <v>4360269.0691872006</v>
      </c>
      <c r="K13" s="81">
        <f>341.18-0.003516</f>
        <v>341.17648400000002</v>
      </c>
      <c r="L13" s="81">
        <f>G13*K13-13.37</f>
        <v>3881210.3119840003</v>
      </c>
      <c r="M13" s="81">
        <f>341.18-0.003516</f>
        <v>341.17648400000002</v>
      </c>
      <c r="N13" s="81">
        <f>H13*M13-13.37</f>
        <v>3881210.3119840003</v>
      </c>
      <c r="O13" s="90"/>
      <c r="P13" s="90"/>
      <c r="Q13" s="90"/>
      <c r="R13" s="181">
        <v>11376</v>
      </c>
      <c r="S13" s="85">
        <v>341.18</v>
      </c>
      <c r="T13" s="85">
        <f>S13*R13-13.37</f>
        <v>3881250.31</v>
      </c>
      <c r="U13" s="90"/>
      <c r="V13" s="85">
        <f>341.18+41.11+0.0236662</f>
        <v>382.3136662</v>
      </c>
      <c r="W13" s="85">
        <f t="shared" ref="W13:W16" si="57">V13*R13</f>
        <v>4349200.2666912004</v>
      </c>
      <c r="X13" s="90"/>
      <c r="Y13" s="90"/>
      <c r="Z13" s="90"/>
      <c r="AA13" s="90"/>
      <c r="AB13" s="90"/>
      <c r="AC13" s="90"/>
      <c r="AD13" s="90"/>
      <c r="AE13" s="90"/>
      <c r="AF13" s="214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181">
        <v>10080</v>
      </c>
      <c r="AT13" s="85">
        <v>279.39</v>
      </c>
      <c r="AU13" s="85">
        <f t="shared" si="0"/>
        <v>2816251.1999999997</v>
      </c>
      <c r="AV13" s="90"/>
      <c r="AW13" s="181">
        <v>10080</v>
      </c>
      <c r="AX13" s="81">
        <f>279.39</f>
        <v>279.39</v>
      </c>
      <c r="AY13" s="85">
        <f t="shared" si="20"/>
        <v>2816251.1999999997</v>
      </c>
      <c r="AZ13" s="90"/>
      <c r="BA13" s="181">
        <v>10080</v>
      </c>
      <c r="BB13" s="81">
        <v>279.39</v>
      </c>
      <c r="BC13" s="85">
        <f t="shared" si="21"/>
        <v>2816251.1999999997</v>
      </c>
      <c r="BD13" s="90"/>
      <c r="BE13" s="90"/>
      <c r="BF13" s="90"/>
      <c r="BG13" s="81">
        <f t="shared" si="22"/>
        <v>361.8725753615613</v>
      </c>
      <c r="BH13" s="85">
        <f t="shared" si="23"/>
        <v>3647675.559644538</v>
      </c>
      <c r="BI13" s="90"/>
      <c r="BJ13" s="81">
        <f>AX13+BK10</f>
        <v>221.30763010819913</v>
      </c>
      <c r="BK13" s="85">
        <f t="shared" si="24"/>
        <v>2230780.9114906471</v>
      </c>
      <c r="BL13" s="90"/>
      <c r="BM13" s="81">
        <f t="shared" si="25"/>
        <v>177.08823368358549</v>
      </c>
      <c r="BN13" s="85">
        <f t="shared" si="26"/>
        <v>1785049.3955305417</v>
      </c>
      <c r="BO13" s="72"/>
      <c r="BP13" s="90"/>
      <c r="BQ13" s="90"/>
      <c r="BR13" s="81">
        <f t="shared" si="27"/>
        <v>361.8725753615613</v>
      </c>
      <c r="BS13" s="85">
        <f t="shared" si="28"/>
        <v>3647675.559644538</v>
      </c>
      <c r="BT13" s="90"/>
      <c r="BU13" s="90"/>
      <c r="BV13" s="81">
        <f t="shared" ref="BV13:BV16" si="58">AT13+$BH$9+$BW$10</f>
        <v>363.06834117442071</v>
      </c>
      <c r="BW13" s="85">
        <f t="shared" si="29"/>
        <v>3659728.8790381607</v>
      </c>
      <c r="BX13" s="90"/>
      <c r="BY13" s="90"/>
      <c r="BZ13" s="81">
        <f t="shared" si="30"/>
        <v>371.43959008538076</v>
      </c>
      <c r="CA13" s="85">
        <f t="shared" si="31"/>
        <v>3744111.0680606379</v>
      </c>
      <c r="CB13" s="90"/>
      <c r="CC13" s="90"/>
      <c r="CD13" s="182">
        <f>10080+2700</f>
        <v>12780</v>
      </c>
      <c r="CE13" s="85">
        <f>279.39+48.07</f>
        <v>327.45999999999998</v>
      </c>
      <c r="CF13" s="85">
        <f t="shared" si="1"/>
        <v>4184938.8</v>
      </c>
      <c r="CG13" s="90"/>
      <c r="CH13" s="181">
        <f>10080+2701</f>
        <v>12781</v>
      </c>
      <c r="CI13" s="81">
        <f>279.39+9.64</f>
        <v>289.02999999999997</v>
      </c>
      <c r="CJ13" s="85">
        <f t="shared" si="32"/>
        <v>3694092.4299999997</v>
      </c>
      <c r="CK13" s="90"/>
      <c r="CL13" s="181">
        <f>10080+2702</f>
        <v>12782</v>
      </c>
      <c r="CM13" s="81">
        <f>279.39+9.65</f>
        <v>289.03999999999996</v>
      </c>
      <c r="CN13" s="85">
        <f t="shared" si="33"/>
        <v>3694509.2799999993</v>
      </c>
      <c r="CO13" s="90"/>
      <c r="CP13" s="90"/>
      <c r="CQ13" s="81">
        <f t="shared" si="34"/>
        <v>337.8691675064922</v>
      </c>
      <c r="CR13" s="85">
        <f t="shared" si="35"/>
        <v>4317967.9607329704</v>
      </c>
      <c r="CS13" s="90"/>
      <c r="CT13" s="90"/>
      <c r="CU13" s="90"/>
      <c r="CV13" s="81">
        <f t="shared" ref="CV13:CV16" si="59">CQ13+$CW$10</f>
        <v>329.74526027360116</v>
      </c>
      <c r="CW13" s="85">
        <f t="shared" si="36"/>
        <v>4214144.4262966225</v>
      </c>
      <c r="CX13" s="90"/>
      <c r="CY13" s="90"/>
      <c r="CZ13" s="181">
        <v>10080</v>
      </c>
      <c r="DA13" s="85">
        <v>266.58</v>
      </c>
      <c r="DB13" s="85">
        <f t="shared" si="2"/>
        <v>2687126.4</v>
      </c>
      <c r="DC13" s="72"/>
      <c r="DD13" s="72"/>
      <c r="DE13" s="153" t="s">
        <v>354</v>
      </c>
      <c r="DF13" s="97">
        <f>DF11-DF12</f>
        <v>17110119.75</v>
      </c>
      <c r="DG13" s="370">
        <v>266.58</v>
      </c>
      <c r="DH13" s="85">
        <f t="shared" si="37"/>
        <v>2687126.4</v>
      </c>
      <c r="DI13" s="72"/>
      <c r="DJ13" s="85">
        <v>10361400</v>
      </c>
      <c r="DK13" s="185" t="s">
        <v>352</v>
      </c>
      <c r="DL13" s="72">
        <f>DJ11+DJ12+DJ13</f>
        <v>15760300</v>
      </c>
      <c r="DM13" s="72">
        <f>DO13-DF13</f>
        <v>4478220</v>
      </c>
      <c r="DN13" s="153" t="s">
        <v>354</v>
      </c>
      <c r="DO13" s="97">
        <f>DO11-DO12</f>
        <v>21588339.75</v>
      </c>
      <c r="DP13" s="84">
        <f>$DG$13+69.81</f>
        <v>336.39</v>
      </c>
      <c r="DQ13" s="85">
        <f t="shared" si="3"/>
        <v>3390811.1999999997</v>
      </c>
      <c r="DR13" s="85">
        <v>14680568</v>
      </c>
      <c r="DS13" s="185" t="s">
        <v>352</v>
      </c>
      <c r="DT13" s="72">
        <f>DR11+DR12+DR13</f>
        <v>20238520</v>
      </c>
      <c r="DU13" s="72" t="s">
        <v>363</v>
      </c>
      <c r="DV13" s="84">
        <f>$DG$13+70.74</f>
        <v>337.32</v>
      </c>
      <c r="DW13" s="85">
        <f t="shared" si="38"/>
        <v>3400185.6</v>
      </c>
      <c r="DX13" s="72"/>
      <c r="DY13" s="90"/>
      <c r="DZ13" s="90"/>
      <c r="EA13" s="153" t="s">
        <v>354</v>
      </c>
      <c r="EB13" s="97">
        <f>EB11-EB12</f>
        <v>23284379.309999999</v>
      </c>
      <c r="EC13" s="84">
        <f>$DG$13+70.74+25.8</f>
        <v>363.12</v>
      </c>
      <c r="ED13" s="85">
        <f>EC13*$CZ$13</f>
        <v>3660249.6</v>
      </c>
      <c r="EE13" s="85">
        <f>14680568+1562388</f>
        <v>16242956</v>
      </c>
      <c r="EF13" s="185" t="s">
        <v>352</v>
      </c>
      <c r="EG13" s="92">
        <f>EE11+EE12+EE13</f>
        <v>21800908</v>
      </c>
      <c r="EH13" s="78"/>
      <c r="EI13" s="78"/>
      <c r="EJ13" s="78"/>
      <c r="EK13" s="78"/>
      <c r="EL13" s="78"/>
      <c r="EM13" s="153" t="s">
        <v>354</v>
      </c>
      <c r="EN13" s="97">
        <f>EN11-EN12</f>
        <v>23340805.060000002</v>
      </c>
      <c r="EO13" s="84">
        <f>$DG$13+70.74+25.8+0.88</f>
        <v>364</v>
      </c>
      <c r="EP13" s="85">
        <f>EO13*$CZ$13</f>
        <v>3669120</v>
      </c>
      <c r="EQ13" s="85">
        <f>14680568+1562388</f>
        <v>16242956</v>
      </c>
      <c r="ER13" s="185" t="s">
        <v>352</v>
      </c>
      <c r="ES13" s="92">
        <f>EQ11+EQ12+EQ13</f>
        <v>21857349.800000001</v>
      </c>
      <c r="ET13" s="72"/>
      <c r="EU13" s="78"/>
      <c r="EV13" s="78"/>
      <c r="EW13" s="78"/>
      <c r="EX13" s="153" t="s">
        <v>354</v>
      </c>
      <c r="EY13" s="97">
        <f>EY11-EY12</f>
        <v>23340805.060000002</v>
      </c>
      <c r="EZ13" s="84">
        <f>$DG$13+70.74+25.8+0.88</f>
        <v>364</v>
      </c>
      <c r="FA13" s="85">
        <f>EZ13*$CZ$13</f>
        <v>3669120</v>
      </c>
      <c r="FB13" s="85">
        <f>14680568+1562388</f>
        <v>16242956</v>
      </c>
      <c r="FC13" s="185" t="s">
        <v>352</v>
      </c>
      <c r="FD13" s="92">
        <f>FB11+FB12+FB13</f>
        <v>21857349.800000001</v>
      </c>
      <c r="FE13" s="72"/>
      <c r="FF13" s="78"/>
      <c r="FG13" s="78"/>
      <c r="FH13" s="78"/>
      <c r="FI13" s="78"/>
      <c r="FJ13" s="153" t="s">
        <v>354</v>
      </c>
      <c r="FK13" s="97">
        <f>FK11-FK12</f>
        <v>28209007.920000002</v>
      </c>
      <c r="FL13" s="84">
        <f>$DG$13+70.74+25.8+0.88+75.89</f>
        <v>439.89</v>
      </c>
      <c r="FM13" s="85">
        <f>FL13*$CZ$13</f>
        <v>4434091.2</v>
      </c>
      <c r="FN13" s="85">
        <f>14680568+1562388+4868202.8</f>
        <v>21111158.800000001</v>
      </c>
      <c r="FO13" s="185" t="s">
        <v>352</v>
      </c>
      <c r="FP13" s="78"/>
      <c r="FQ13" s="78"/>
      <c r="FR13" s="78"/>
      <c r="FS13" s="78"/>
      <c r="FT13" s="78"/>
      <c r="FU13" s="78"/>
      <c r="FV13" s="78"/>
      <c r="FW13" s="191" t="s">
        <v>414</v>
      </c>
      <c r="FX13" s="96">
        <f>10080-5984</f>
        <v>4096</v>
      </c>
      <c r="FY13" s="85">
        <f>364+263.61</f>
        <v>627.61</v>
      </c>
      <c r="FZ13" s="85">
        <f t="shared" si="4"/>
        <v>2570690.5600000001</v>
      </c>
      <c r="GA13" s="97">
        <f>266.58</f>
        <v>266.58</v>
      </c>
      <c r="GB13" s="374">
        <f>266.58+113.875313</f>
        <v>380.45531299999999</v>
      </c>
      <c r="GC13" s="85">
        <f t="shared" si="39"/>
        <v>1558344.962048</v>
      </c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T13" s="92">
        <f>FN11+FN12+FN13</f>
        <v>26725552.600000001</v>
      </c>
      <c r="GU13" s="72"/>
      <c r="GV13" s="78"/>
      <c r="GW13" s="78"/>
      <c r="GX13" s="78"/>
      <c r="GY13" s="88"/>
      <c r="GZ13" s="90"/>
      <c r="HA13" s="153" t="s">
        <v>272</v>
      </c>
      <c r="HB13" s="97">
        <f>HB11-HB12</f>
        <v>24494757.719999999</v>
      </c>
      <c r="HC13" s="370">
        <f t="shared" si="40"/>
        <v>18.9381585</v>
      </c>
      <c r="HD13" s="85">
        <f t="shared" si="41"/>
        <v>506132751.13888711</v>
      </c>
      <c r="HE13" s="72"/>
      <c r="HF13" s="153" t="s">
        <v>272</v>
      </c>
      <c r="HG13" s="97">
        <f>HG11-HG12</f>
        <v>24612783.309999999</v>
      </c>
      <c r="HH13" s="370">
        <f t="shared" si="42"/>
        <v>20.845365399999999</v>
      </c>
      <c r="HI13" s="85">
        <f t="shared" si="43"/>
        <v>557103909.46392</v>
      </c>
      <c r="HJ13" s="72"/>
      <c r="HK13" s="153" t="s">
        <v>272</v>
      </c>
      <c r="HL13" s="97">
        <f>HL11-HL12</f>
        <v>25211416.309999999</v>
      </c>
      <c r="HM13" s="370">
        <f t="shared" si="44"/>
        <v>30.518835099999997</v>
      </c>
      <c r="HN13" s="85">
        <f t="shared" si="45"/>
        <v>815632732.75577617</v>
      </c>
      <c r="HO13" s="72"/>
      <c r="HP13" s="72"/>
      <c r="HQ13" s="72"/>
      <c r="HR13" s="83">
        <v>433.15557916666666</v>
      </c>
      <c r="HS13" s="91">
        <v>3118720.17</v>
      </c>
      <c r="HT13" s="90"/>
      <c r="HU13" s="90"/>
      <c r="HV13" s="90"/>
      <c r="HW13" s="84">
        <f t="shared" si="5"/>
        <v>6.1618620075115371E-3</v>
      </c>
      <c r="HX13" s="85">
        <f t="shared" si="46"/>
        <v>3118720.17</v>
      </c>
      <c r="HY13" s="90"/>
      <c r="HZ13" s="92"/>
      <c r="IA13" s="84">
        <f t="shared" si="6"/>
        <v>18.944429988657635</v>
      </c>
      <c r="IB13" s="85">
        <f>HD13+$IB$9</f>
        <v>506300360.13888711</v>
      </c>
      <c r="IC13" s="72"/>
      <c r="ID13" s="90"/>
      <c r="IE13" s="84">
        <f t="shared" si="7"/>
        <v>18.943411725708792</v>
      </c>
      <c r="IF13" s="85">
        <f t="shared" si="47"/>
        <v>506273146.49888712</v>
      </c>
      <c r="IG13" s="90"/>
      <c r="IH13" s="90"/>
      <c r="II13" s="84">
        <f t="shared" si="8"/>
        <v>18.946846347674288</v>
      </c>
      <c r="IJ13" s="86">
        <f t="shared" si="48"/>
        <v>506364938.66888714</v>
      </c>
      <c r="IK13" s="81">
        <f t="shared" si="49"/>
        <v>3.4346219654963761E-3</v>
      </c>
      <c r="IL13" s="90"/>
      <c r="IM13" s="90"/>
      <c r="IN13" s="84">
        <f t="shared" si="9"/>
        <v>18.954814714247934</v>
      </c>
      <c r="IO13" s="86">
        <f t="shared" si="50"/>
        <v>506577897.66888714</v>
      </c>
      <c r="IP13" s="81">
        <f t="shared" si="51"/>
        <v>7.9683665736460796E-3</v>
      </c>
      <c r="IQ13" s="90"/>
      <c r="IR13" s="90"/>
      <c r="IS13" s="90"/>
      <c r="IT13" s="90"/>
      <c r="IU13" s="84">
        <f t="shared" si="10"/>
        <v>18.958526197616848</v>
      </c>
      <c r="IV13" s="86">
        <f t="shared" si="52"/>
        <v>506677089.11288714</v>
      </c>
      <c r="IW13" s="81">
        <f t="shared" si="53"/>
        <v>18.950557831043202</v>
      </c>
      <c r="IX13" s="90"/>
      <c r="IY13" s="90"/>
      <c r="IZ13" s="90"/>
      <c r="JA13" s="90"/>
      <c r="JB13" s="87">
        <v>267.45</v>
      </c>
      <c r="JC13" s="169">
        <v>7200</v>
      </c>
      <c r="JD13" s="88">
        <v>199.2</v>
      </c>
      <c r="JE13" s="89">
        <v>1434240</v>
      </c>
      <c r="JF13" s="88">
        <f t="shared" si="11"/>
        <v>224.5882402777778</v>
      </c>
      <c r="JG13" s="89">
        <f t="shared" si="12"/>
        <v>1617035.33</v>
      </c>
      <c r="JH13" s="88">
        <f t="shared" si="13"/>
        <v>264.71476805555557</v>
      </c>
      <c r="JI13" s="89">
        <f t="shared" si="54"/>
        <v>1905946.33</v>
      </c>
      <c r="JJ13" s="88">
        <f t="shared" si="14"/>
        <v>266.29347175972225</v>
      </c>
      <c r="JK13" s="89">
        <f t="shared" si="55"/>
        <v>1917312.99667</v>
      </c>
      <c r="JL13" s="88">
        <f t="shared" si="15"/>
        <v>267.45087916666665</v>
      </c>
      <c r="JM13" s="89">
        <f t="shared" si="56"/>
        <v>1925646.33</v>
      </c>
      <c r="JN13" s="89"/>
    </row>
    <row r="14" spans="1:288" ht="67.5" x14ac:dyDescent="0.25">
      <c r="A14" s="79" t="s">
        <v>220</v>
      </c>
      <c r="B14" s="80" t="s">
        <v>614</v>
      </c>
      <c r="C14" s="59" t="s">
        <v>221</v>
      </c>
      <c r="D14" s="187">
        <v>31428</v>
      </c>
      <c r="E14" s="187">
        <v>3132</v>
      </c>
      <c r="F14" s="187">
        <v>3132</v>
      </c>
      <c r="G14" s="187">
        <v>31428</v>
      </c>
      <c r="H14" s="187">
        <v>31428</v>
      </c>
      <c r="I14" s="81">
        <f>341.25+41.11+0.9</f>
        <v>383.26</v>
      </c>
      <c r="J14" s="81">
        <f t="shared" si="16"/>
        <v>12045095.279999999</v>
      </c>
      <c r="K14" s="81">
        <v>341.25</v>
      </c>
      <c r="L14" s="81">
        <f t="shared" si="17"/>
        <v>10724805</v>
      </c>
      <c r="M14" s="81">
        <v>341.25</v>
      </c>
      <c r="N14" s="81">
        <f t="shared" si="18"/>
        <v>10724805</v>
      </c>
      <c r="O14" s="90"/>
      <c r="P14" s="90"/>
      <c r="Q14" s="90"/>
      <c r="R14" s="181">
        <v>31428</v>
      </c>
      <c r="S14" s="85">
        <v>341.25</v>
      </c>
      <c r="T14" s="85">
        <f t="shared" si="19"/>
        <v>10724805</v>
      </c>
      <c r="U14" s="90"/>
      <c r="V14" s="85">
        <f>341.25+41.11</f>
        <v>382.36</v>
      </c>
      <c r="W14" s="85">
        <f t="shared" si="57"/>
        <v>12016810.08</v>
      </c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181">
        <v>3132</v>
      </c>
      <c r="AT14" s="85">
        <v>279.42</v>
      </c>
      <c r="AU14" s="85">
        <f t="shared" si="0"/>
        <v>875143.44000000006</v>
      </c>
      <c r="AV14" s="90"/>
      <c r="AW14" s="181">
        <v>3133</v>
      </c>
      <c r="AX14" s="375">
        <f>279.42-0.020274</f>
        <v>279.39972600000004</v>
      </c>
      <c r="AY14" s="85">
        <f t="shared" si="20"/>
        <v>875359.34155800019</v>
      </c>
      <c r="AZ14" s="90"/>
      <c r="BA14" s="181">
        <v>3134</v>
      </c>
      <c r="BB14" s="375">
        <f>279.42-0.040587</f>
        <v>279.379413</v>
      </c>
      <c r="BC14" s="85">
        <f t="shared" si="21"/>
        <v>875575.080342</v>
      </c>
      <c r="BD14" s="90"/>
      <c r="BE14" s="90"/>
      <c r="BF14" s="90"/>
      <c r="BG14" s="81">
        <f t="shared" si="22"/>
        <v>361.90257536156133</v>
      </c>
      <c r="BH14" s="85">
        <f t="shared" si="23"/>
        <v>1133478.8660324102</v>
      </c>
      <c r="BI14" s="90"/>
      <c r="BJ14" s="81">
        <f>AX14+BK10</f>
        <v>221.31735610819919</v>
      </c>
      <c r="BK14" s="85">
        <f t="shared" si="24"/>
        <v>693387.27668698807</v>
      </c>
      <c r="BL14" s="90"/>
      <c r="BM14" s="81">
        <f t="shared" si="25"/>
        <v>177.0776466835855</v>
      </c>
      <c r="BN14" s="85">
        <f t="shared" si="26"/>
        <v>554961.34470635699</v>
      </c>
      <c r="BO14" s="72"/>
      <c r="BP14" s="90"/>
      <c r="BQ14" s="90"/>
      <c r="BR14" s="81">
        <f t="shared" si="27"/>
        <v>361.90257536156133</v>
      </c>
      <c r="BS14" s="85">
        <f t="shared" si="28"/>
        <v>1133478.8660324102</v>
      </c>
      <c r="BT14" s="90"/>
      <c r="BU14" s="90"/>
      <c r="BV14" s="81">
        <f t="shared" si="58"/>
        <v>363.09834117442074</v>
      </c>
      <c r="BW14" s="85">
        <f t="shared" si="29"/>
        <v>1137224.0045582857</v>
      </c>
      <c r="BX14" s="90"/>
      <c r="BY14" s="90"/>
      <c r="BZ14" s="81">
        <f t="shared" si="30"/>
        <v>371.46959008538079</v>
      </c>
      <c r="CA14" s="85">
        <f t="shared" si="31"/>
        <v>1163442.7561474126</v>
      </c>
      <c r="CB14" s="90"/>
      <c r="CC14" s="90"/>
      <c r="CD14" s="182">
        <f>3132+27864</f>
        <v>30996</v>
      </c>
      <c r="CE14" s="85">
        <f>279.42+48.07</f>
        <v>327.49</v>
      </c>
      <c r="CF14" s="85">
        <f t="shared" si="1"/>
        <v>10150880.040000001</v>
      </c>
      <c r="CG14" s="90"/>
      <c r="CH14" s="181">
        <f>3133+27865</f>
        <v>30998</v>
      </c>
      <c r="CI14" s="375">
        <f>279.42-0.020274+9.652328</f>
        <v>289.05205400000006</v>
      </c>
      <c r="CJ14" s="85">
        <f t="shared" si="32"/>
        <v>8960035.5698920023</v>
      </c>
      <c r="CK14" s="90"/>
      <c r="CL14" s="181">
        <f>3134+27866</f>
        <v>31000</v>
      </c>
      <c r="CM14" s="375">
        <f>279.42-0.040587+9.6998728</f>
        <v>289.07928579999998</v>
      </c>
      <c r="CN14" s="85">
        <f t="shared" si="33"/>
        <v>8961457.8597999997</v>
      </c>
      <c r="CO14" s="90"/>
      <c r="CP14" s="90"/>
      <c r="CQ14" s="81">
        <f t="shared" si="34"/>
        <v>337.89916750649223</v>
      </c>
      <c r="CR14" s="85">
        <f t="shared" si="35"/>
        <v>10473522.596031234</v>
      </c>
      <c r="CS14" s="90"/>
      <c r="CT14" s="90"/>
      <c r="CU14" s="90"/>
      <c r="CV14" s="81">
        <f t="shared" si="59"/>
        <v>329.77526027360119</v>
      </c>
      <c r="CW14" s="85">
        <f t="shared" si="36"/>
        <v>10221713.967440542</v>
      </c>
      <c r="CX14" s="90"/>
      <c r="CY14" s="90"/>
      <c r="CZ14" s="181">
        <v>2916</v>
      </c>
      <c r="DA14" s="85">
        <v>266.06</v>
      </c>
      <c r="DB14" s="85">
        <f t="shared" si="2"/>
        <v>775830.96</v>
      </c>
      <c r="DC14" s="72"/>
      <c r="DD14" s="72"/>
      <c r="DE14" s="6"/>
      <c r="DF14" s="186">
        <f>(DF13-DB17)/CZ17</f>
        <v>-2.5018705575422526E-4</v>
      </c>
      <c r="DG14" s="370">
        <v>266.06</v>
      </c>
      <c r="DH14" s="85">
        <f t="shared" si="37"/>
        <v>775830.96</v>
      </c>
      <c r="DI14" s="72"/>
      <c r="DJ14" s="85">
        <v>2113170.35</v>
      </c>
      <c r="DK14" s="185" t="s">
        <v>358</v>
      </c>
      <c r="DL14" s="72">
        <f>DJ11+DJ12+DJ13+DJ14</f>
        <v>17873470.350000001</v>
      </c>
      <c r="DM14" s="72">
        <f>69.8063*64152</f>
        <v>4478213.7575999992</v>
      </c>
      <c r="DN14" s="6"/>
      <c r="DO14" s="186">
        <f>(DO13-DF13)/CZ17</f>
        <v>69.806397306397301</v>
      </c>
      <c r="DP14" s="84">
        <f>$DG$14+69.81</f>
        <v>335.87</v>
      </c>
      <c r="DQ14" s="85">
        <f t="shared" si="3"/>
        <v>979396.92</v>
      </c>
      <c r="DR14" s="85">
        <v>2113170.35</v>
      </c>
      <c r="DS14" s="185" t="s">
        <v>358</v>
      </c>
      <c r="DT14" s="72">
        <f>DR11+DR12+DR13+DR14</f>
        <v>22351690.350000001</v>
      </c>
      <c r="DU14" s="72" t="s">
        <v>364</v>
      </c>
      <c r="DV14" s="84">
        <f>$DG$14+70.74</f>
        <v>336.8</v>
      </c>
      <c r="DW14" s="85">
        <f t="shared" si="38"/>
        <v>982108.8</v>
      </c>
      <c r="DX14" s="72">
        <f>DT14+DR17</f>
        <v>22411559.420000002</v>
      </c>
      <c r="DY14" s="78" t="s">
        <v>367</v>
      </c>
      <c r="DZ14" s="78"/>
      <c r="EA14" s="6"/>
      <c r="EB14" s="186">
        <f>(EB13-DO13)/CZ17</f>
        <v>26.437828282828264</v>
      </c>
      <c r="EC14" s="84">
        <f>$DG$14+70.74+25.8</f>
        <v>362.6</v>
      </c>
      <c r="ED14" s="85">
        <f>EC14*$CZ$14</f>
        <v>1057341.6000000001</v>
      </c>
      <c r="EE14" s="85">
        <f>2113170.35+133651.56</f>
        <v>2246821.91</v>
      </c>
      <c r="EF14" s="185" t="s">
        <v>358</v>
      </c>
      <c r="EG14" s="72" t="s">
        <v>377</v>
      </c>
      <c r="EH14" s="376" t="s">
        <v>379</v>
      </c>
      <c r="EI14" s="188">
        <f>EE11+EE12+EE13+EE14</f>
        <v>24047729.91</v>
      </c>
      <c r="EJ14" s="376" t="s">
        <v>382</v>
      </c>
      <c r="EK14" s="188">
        <f>EI14-ED18</f>
        <v>23284363.260000002</v>
      </c>
      <c r="EL14" s="188"/>
      <c r="EM14" s="6"/>
      <c r="EN14" s="186">
        <f>(EN13-EB13)/$CZ$17</f>
        <v>0.87956338072084617</v>
      </c>
      <c r="EO14" s="84">
        <f>$DG$14+70.74+25.8+0.88</f>
        <v>363.48</v>
      </c>
      <c r="EP14" s="85">
        <f>EO14*$CZ$14</f>
        <v>1059907.6800000002</v>
      </c>
      <c r="EQ14" s="85">
        <f>2113170.35+133651.56</f>
        <v>2246821.91</v>
      </c>
      <c r="ER14" s="185" t="s">
        <v>358</v>
      </c>
      <c r="ES14" s="376" t="s">
        <v>379</v>
      </c>
      <c r="ET14" s="92">
        <f>EQ11+EQ12+EQ13+EQ14</f>
        <v>24104171.710000001</v>
      </c>
      <c r="EU14" s="376" t="s">
        <v>382</v>
      </c>
      <c r="EV14" s="188">
        <f>ET14-EP18</f>
        <v>23340805.060000002</v>
      </c>
      <c r="EW14" s="188"/>
      <c r="EX14" s="6"/>
      <c r="EY14" s="186">
        <f>(EY13-EB13)/$CZ$17</f>
        <v>0.87956338072084617</v>
      </c>
      <c r="EZ14" s="84">
        <f>$DG$14+70.74+25.8+0.88</f>
        <v>363.48</v>
      </c>
      <c r="FA14" s="85">
        <f>EZ14*$CZ$14</f>
        <v>1059907.6800000002</v>
      </c>
      <c r="FB14" s="85">
        <f>2113170.35+133651.56</f>
        <v>2246821.91</v>
      </c>
      <c r="FC14" s="185" t="s">
        <v>358</v>
      </c>
      <c r="FD14" s="376" t="s">
        <v>379</v>
      </c>
      <c r="FE14" s="92">
        <f>FB11+FB12+FB13+FB14</f>
        <v>24104171.710000001</v>
      </c>
      <c r="FF14" s="376" t="s">
        <v>382</v>
      </c>
      <c r="FG14" s="188">
        <f>FE14-FA18</f>
        <v>23340805.060000002</v>
      </c>
      <c r="FH14" s="188"/>
      <c r="FI14" s="188"/>
      <c r="FJ14" s="6"/>
      <c r="FK14" s="186">
        <f>(FK13-EY13)/$CZ$17</f>
        <v>75.88544176331213</v>
      </c>
      <c r="FL14" s="84">
        <f>$DG$14+70.74+25.8+0.88+75.89</f>
        <v>439.37</v>
      </c>
      <c r="FM14" s="85">
        <f>FL14*$CZ$14</f>
        <v>1281202.92</v>
      </c>
      <c r="FN14" s="377">
        <f>2113170.35+133651.56</f>
        <v>2246821.91</v>
      </c>
      <c r="FO14" s="185" t="s">
        <v>358</v>
      </c>
      <c r="FP14" s="376" t="s">
        <v>379</v>
      </c>
      <c r="FQ14" s="92">
        <f>FN11+FN12+FN13+FN14+0.06</f>
        <v>28972374.57</v>
      </c>
      <c r="FR14" s="376" t="s">
        <v>382</v>
      </c>
      <c r="FS14" s="188">
        <f>FQ14-FK12</f>
        <v>28209007.920000002</v>
      </c>
      <c r="FT14" s="185">
        <f>FS14-FG14</f>
        <v>4868202.8599999994</v>
      </c>
      <c r="FU14" s="378">
        <f>FT14/$CZ$17</f>
        <v>75.88544176331213</v>
      </c>
      <c r="FV14" s="185" t="s">
        <v>403</v>
      </c>
      <c r="FW14" s="192" t="s">
        <v>415</v>
      </c>
      <c r="FX14" s="96">
        <f>2916-1620</f>
        <v>1296</v>
      </c>
      <c r="FY14" s="85">
        <f>363.48+263.6</f>
        <v>627.08000000000004</v>
      </c>
      <c r="FZ14" s="85">
        <f t="shared" si="4"/>
        <v>812695.68</v>
      </c>
      <c r="GA14" s="97">
        <f>266.06</f>
        <v>266.06</v>
      </c>
      <c r="GB14" s="81">
        <f>266.06+113.87</f>
        <v>379.93</v>
      </c>
      <c r="GC14" s="85">
        <f t="shared" si="39"/>
        <v>492389.28</v>
      </c>
      <c r="GD14" s="72"/>
      <c r="GE14" s="72"/>
      <c r="GF14" s="72"/>
      <c r="GG14" s="72"/>
      <c r="GH14" s="1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T14" s="376" t="s">
        <v>379</v>
      </c>
      <c r="GU14" s="92">
        <f>FN11+FN12+FN13+FN14</f>
        <v>28972374.510000002</v>
      </c>
      <c r="GV14" s="376" t="s">
        <v>382</v>
      </c>
      <c r="GW14" s="188" t="e">
        <f>GU14-FM18</f>
        <v>#REF!</v>
      </c>
      <c r="GX14" s="188"/>
      <c r="GY14" s="88"/>
      <c r="GZ14" s="90"/>
      <c r="HA14" s="6"/>
      <c r="HB14" s="186" t="e">
        <f>(HB13-GV17)/GT17</f>
        <v>#REF!</v>
      </c>
      <c r="HC14" s="370">
        <f t="shared" si="40"/>
        <v>28972393.448158503</v>
      </c>
      <c r="HD14" s="85" t="e">
        <f t="shared" si="41"/>
        <v>#VALUE!</v>
      </c>
      <c r="HE14" s="72"/>
      <c r="HF14" s="6"/>
      <c r="HG14" s="186" t="e">
        <f>(HG13-HB13)/GT17</f>
        <v>#REF!</v>
      </c>
      <c r="HH14" s="370">
        <f t="shared" si="42"/>
        <v>28972395.355365403</v>
      </c>
      <c r="HI14" s="85" t="e">
        <f t="shared" si="43"/>
        <v>#VALUE!</v>
      </c>
      <c r="HJ14" s="72"/>
      <c r="HK14" s="6"/>
      <c r="HL14" s="186" t="e">
        <f>(HL13-HG13)/GT17</f>
        <v>#REF!</v>
      </c>
      <c r="HM14" s="370">
        <f t="shared" si="44"/>
        <v>28972405.028835103</v>
      </c>
      <c r="HN14" s="85" t="e">
        <f t="shared" si="45"/>
        <v>#VALUE!</v>
      </c>
      <c r="HO14" s="72"/>
      <c r="HP14" s="72"/>
      <c r="HQ14" s="72"/>
      <c r="HR14" s="83">
        <v>416.0113127853881</v>
      </c>
      <c r="HS14" s="91">
        <v>1093277.73</v>
      </c>
      <c r="HT14" s="90"/>
      <c r="HU14" s="90"/>
      <c r="HV14" s="90"/>
      <c r="HW14" s="84" t="e">
        <f t="shared" si="5"/>
        <v>#VALUE!</v>
      </c>
      <c r="HX14" s="85">
        <f t="shared" si="46"/>
        <v>1093277.73</v>
      </c>
      <c r="HY14" s="90"/>
      <c r="HZ14" s="92"/>
      <c r="IA14" s="84" t="e">
        <f t="shared" si="6"/>
        <v>#VALUE!</v>
      </c>
      <c r="IB14" s="85" t="e">
        <f t="shared" ref="IB14:IB15" si="60">HD14+$IB$9</f>
        <v>#VALUE!</v>
      </c>
      <c r="IC14" s="72"/>
      <c r="ID14" s="90"/>
      <c r="IE14" s="84" t="e">
        <f t="shared" si="7"/>
        <v>#VALUE!</v>
      </c>
      <c r="IF14" s="85" t="e">
        <f t="shared" si="47"/>
        <v>#VALUE!</v>
      </c>
      <c r="IG14" s="90"/>
      <c r="IH14" s="90"/>
      <c r="II14" s="84" t="e">
        <f t="shared" si="8"/>
        <v>#VALUE!</v>
      </c>
      <c r="IJ14" s="86" t="e">
        <f t="shared" si="48"/>
        <v>#VALUE!</v>
      </c>
      <c r="IK14" s="81" t="e">
        <f t="shared" si="49"/>
        <v>#VALUE!</v>
      </c>
      <c r="IL14" s="90"/>
      <c r="IM14" s="90"/>
      <c r="IN14" s="84" t="e">
        <f t="shared" si="9"/>
        <v>#VALUE!</v>
      </c>
      <c r="IO14" s="86" t="e">
        <f t="shared" si="50"/>
        <v>#VALUE!</v>
      </c>
      <c r="IP14" s="81" t="e">
        <f t="shared" si="51"/>
        <v>#VALUE!</v>
      </c>
      <c r="IQ14" s="90"/>
      <c r="IR14" s="90"/>
      <c r="IS14" s="90"/>
      <c r="IT14" s="90"/>
      <c r="IU14" s="84" t="e">
        <f t="shared" si="10"/>
        <v>#VALUE!</v>
      </c>
      <c r="IV14" s="86" t="e">
        <f t="shared" si="52"/>
        <v>#VALUE!</v>
      </c>
      <c r="IW14" s="81" t="e">
        <f t="shared" si="53"/>
        <v>#VALUE!</v>
      </c>
      <c r="IX14" s="90"/>
      <c r="IY14" s="90"/>
      <c r="IZ14" s="90"/>
      <c r="JA14" s="90"/>
      <c r="JB14" s="87">
        <v>238.88</v>
      </c>
      <c r="JC14" s="169">
        <v>12240</v>
      </c>
      <c r="JD14" s="88">
        <v>198.73</v>
      </c>
      <c r="JE14" s="89">
        <v>2432455.2000000002</v>
      </c>
      <c r="JF14" s="88">
        <f t="shared" si="11"/>
        <v>213.66425898692813</v>
      </c>
      <c r="JG14" s="89">
        <f t="shared" si="12"/>
        <v>2615250.5300000003</v>
      </c>
      <c r="JH14" s="88">
        <f t="shared" si="13"/>
        <v>237.26809885620918</v>
      </c>
      <c r="JI14" s="89">
        <f t="shared" si="54"/>
        <v>2904161.5300000003</v>
      </c>
      <c r="JJ14" s="88">
        <f t="shared" si="14"/>
        <v>238.19674809395428</v>
      </c>
      <c r="JK14" s="89">
        <f t="shared" si="55"/>
        <v>2915528.1966700004</v>
      </c>
      <c r="JL14" s="88">
        <f t="shared" si="15"/>
        <v>238.87757598039218</v>
      </c>
      <c r="JM14" s="89">
        <f t="shared" si="56"/>
        <v>2923861.5300000003</v>
      </c>
      <c r="JN14" s="89"/>
    </row>
    <row r="15" spans="1:288" ht="67.5" x14ac:dyDescent="0.25">
      <c r="A15" s="79" t="s">
        <v>220</v>
      </c>
      <c r="B15" s="80" t="s">
        <v>224</v>
      </c>
      <c r="C15" s="59" t="s">
        <v>221</v>
      </c>
      <c r="D15" s="187">
        <v>47880</v>
      </c>
      <c r="E15" s="187">
        <v>23040</v>
      </c>
      <c r="F15" s="187">
        <v>23040</v>
      </c>
      <c r="G15" s="187">
        <v>47880</v>
      </c>
      <c r="H15" s="187">
        <v>47880</v>
      </c>
      <c r="I15" s="81">
        <f>341.3+41.1+0.9</f>
        <v>383.3</v>
      </c>
      <c r="J15" s="81">
        <f t="shared" si="16"/>
        <v>18352404</v>
      </c>
      <c r="K15" s="81">
        <v>341.3</v>
      </c>
      <c r="L15" s="81">
        <f t="shared" si="17"/>
        <v>16341444</v>
      </c>
      <c r="M15" s="81">
        <v>341.3</v>
      </c>
      <c r="N15" s="81">
        <f t="shared" si="18"/>
        <v>16341444</v>
      </c>
      <c r="O15" s="90"/>
      <c r="P15" s="90"/>
      <c r="Q15" s="90"/>
      <c r="R15" s="181">
        <v>47880</v>
      </c>
      <c r="S15" s="85">
        <v>341.3</v>
      </c>
      <c r="T15" s="85">
        <f t="shared" si="19"/>
        <v>16341444</v>
      </c>
      <c r="U15" s="90"/>
      <c r="V15" s="85">
        <f>341.3+41.1</f>
        <v>382.40000000000003</v>
      </c>
      <c r="W15" s="85">
        <f t="shared" si="57"/>
        <v>18309312</v>
      </c>
      <c r="X15" s="90"/>
      <c r="Y15" s="90"/>
      <c r="Z15" s="90"/>
      <c r="AA15" s="90"/>
      <c r="AB15" s="90"/>
      <c r="AC15" s="90"/>
      <c r="AD15" s="90"/>
      <c r="AE15" s="90"/>
      <c r="AF15" s="213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181">
        <v>23040</v>
      </c>
      <c r="AT15" s="85">
        <v>279.43</v>
      </c>
      <c r="AU15" s="85">
        <f t="shared" si="0"/>
        <v>6438067.2000000002</v>
      </c>
      <c r="AV15" s="90"/>
      <c r="AW15" s="181">
        <v>23041</v>
      </c>
      <c r="AX15" s="81">
        <f>279.43-0.02</f>
        <v>279.41000000000003</v>
      </c>
      <c r="AY15" s="85">
        <f t="shared" si="20"/>
        <v>6437885.8100000005</v>
      </c>
      <c r="AZ15" s="90"/>
      <c r="BA15" s="181">
        <v>23042</v>
      </c>
      <c r="BB15" s="81">
        <f>279.43-0.04</f>
        <v>279.39</v>
      </c>
      <c r="BC15" s="85">
        <f t="shared" si="21"/>
        <v>6437704.3799999999</v>
      </c>
      <c r="BD15" s="90"/>
      <c r="BE15" s="90"/>
      <c r="BF15" s="90"/>
      <c r="BG15" s="81">
        <f t="shared" si="22"/>
        <v>361.91257536156132</v>
      </c>
      <c r="BH15" s="85">
        <f t="shared" si="23"/>
        <v>8338465.7363303732</v>
      </c>
      <c r="BI15" s="90"/>
      <c r="BJ15" s="81">
        <f>AX15+BK10</f>
        <v>221.32763010819917</v>
      </c>
      <c r="BK15" s="85">
        <f t="shared" si="24"/>
        <v>5099609.9253230169</v>
      </c>
      <c r="BL15" s="90"/>
      <c r="BM15" s="81">
        <f t="shared" si="25"/>
        <v>177.08823368358549</v>
      </c>
      <c r="BN15" s="85">
        <f t="shared" si="26"/>
        <v>4080467.0805371767</v>
      </c>
      <c r="BO15" s="72"/>
      <c r="BP15" s="90"/>
      <c r="BQ15" s="90"/>
      <c r="BR15" s="81">
        <f t="shared" si="27"/>
        <v>361.91257536156132</v>
      </c>
      <c r="BS15" s="85">
        <f t="shared" si="28"/>
        <v>8338465.7363303732</v>
      </c>
      <c r="BT15" s="90"/>
      <c r="BU15" s="90"/>
      <c r="BV15" s="81">
        <f t="shared" si="58"/>
        <v>363.10834117442073</v>
      </c>
      <c r="BW15" s="85">
        <f t="shared" si="29"/>
        <v>8366016.1806586534</v>
      </c>
      <c r="BX15" s="90"/>
      <c r="BY15" s="90"/>
      <c r="BZ15" s="81">
        <f t="shared" si="30"/>
        <v>371.47959008538078</v>
      </c>
      <c r="CA15" s="85">
        <f t="shared" si="31"/>
        <v>8558889.7555671725</v>
      </c>
      <c r="CB15" s="90"/>
      <c r="CC15" s="90"/>
      <c r="CD15" s="182">
        <f>20800+25596</f>
        <v>46396</v>
      </c>
      <c r="CE15" s="85">
        <f>279.43+48.07</f>
        <v>327.5</v>
      </c>
      <c r="CF15" s="85">
        <f t="shared" si="1"/>
        <v>15194690</v>
      </c>
      <c r="CG15" s="90"/>
      <c r="CH15" s="181">
        <f>20800+25596</f>
        <v>46396</v>
      </c>
      <c r="CI15" s="81">
        <f>279.43-0.02+9.65</f>
        <v>289.06</v>
      </c>
      <c r="CJ15" s="85">
        <f t="shared" si="32"/>
        <v>13411227.76</v>
      </c>
      <c r="CK15" s="90"/>
      <c r="CL15" s="181">
        <f>20800+25596</f>
        <v>46396</v>
      </c>
      <c r="CM15" s="81">
        <f>279.43-0.04+9.65</f>
        <v>289.03999999999996</v>
      </c>
      <c r="CN15" s="85">
        <f t="shared" si="33"/>
        <v>13410299.839999998</v>
      </c>
      <c r="CO15" s="90"/>
      <c r="CP15" s="90"/>
      <c r="CQ15" s="81">
        <f t="shared" si="34"/>
        <v>337.90916750649222</v>
      </c>
      <c r="CR15" s="85">
        <f t="shared" si="35"/>
        <v>15677633.735631213</v>
      </c>
      <c r="CS15" s="90"/>
      <c r="CT15" s="90"/>
      <c r="CU15" s="90"/>
      <c r="CV15" s="81">
        <f t="shared" si="59"/>
        <v>329.78526027360118</v>
      </c>
      <c r="CW15" s="85">
        <f t="shared" si="36"/>
        <v>15300716.935654001</v>
      </c>
      <c r="CX15" s="90"/>
      <c r="CY15" s="90"/>
      <c r="CZ15" s="181">
        <v>20196</v>
      </c>
      <c r="DA15" s="85">
        <v>266.95</v>
      </c>
      <c r="DB15" s="85">
        <f t="shared" si="2"/>
        <v>5391322.2000000002</v>
      </c>
      <c r="DC15" s="72"/>
      <c r="DD15" s="72"/>
      <c r="DE15" s="153" t="s">
        <v>355</v>
      </c>
      <c r="DF15" s="369">
        <f>DJ15+DJ16</f>
        <v>27957415.149999999</v>
      </c>
      <c r="DG15" s="370">
        <v>266.95</v>
      </c>
      <c r="DH15" s="85">
        <f t="shared" si="37"/>
        <v>5391322.2000000002</v>
      </c>
      <c r="DI15" s="72"/>
      <c r="DJ15" s="85">
        <v>24652200</v>
      </c>
      <c r="DK15" s="185" t="s">
        <v>357</v>
      </c>
      <c r="DL15" s="72"/>
      <c r="DM15" s="72"/>
      <c r="DN15" s="153" t="s">
        <v>275</v>
      </c>
      <c r="DO15" s="369">
        <f>DR15+DR16+DR17</f>
        <v>28017284.219999999</v>
      </c>
      <c r="DP15" s="84">
        <f>$DG$15+69.81</f>
        <v>336.76</v>
      </c>
      <c r="DQ15" s="85">
        <f t="shared" si="3"/>
        <v>6801204.96</v>
      </c>
      <c r="DR15" s="85">
        <v>24652200</v>
      </c>
      <c r="DS15" s="85" t="s">
        <v>357</v>
      </c>
      <c r="DT15" s="72"/>
      <c r="DU15" s="72"/>
      <c r="DV15" s="84">
        <f>$DG$15+70.74</f>
        <v>337.69</v>
      </c>
      <c r="DW15" s="85">
        <f t="shared" si="38"/>
        <v>6819987.2400000002</v>
      </c>
      <c r="DX15" s="92">
        <f>DX14-DO12</f>
        <v>21648208.82</v>
      </c>
      <c r="DY15" s="78" t="s">
        <v>368</v>
      </c>
      <c r="DZ15" s="78"/>
      <c r="EA15" s="153" t="s">
        <v>275</v>
      </c>
      <c r="EB15" s="369">
        <f>EE15+EE16+EE17</f>
        <v>28392284.219999999</v>
      </c>
      <c r="EC15" s="84">
        <f>$DG$15+70.74+25.8</f>
        <v>363.49</v>
      </c>
      <c r="ED15" s="85">
        <f>EC15*$CZ$15</f>
        <v>7341044.04</v>
      </c>
      <c r="EE15" s="85">
        <v>24652200</v>
      </c>
      <c r="EF15" s="85" t="s">
        <v>357</v>
      </c>
      <c r="EH15" s="376" t="s">
        <v>380</v>
      </c>
      <c r="EI15" s="188">
        <f>EE15+EE16+EE17</f>
        <v>28392284.219999999</v>
      </c>
      <c r="EJ15" s="78"/>
      <c r="EK15" s="188"/>
      <c r="EL15" s="188"/>
      <c r="EM15" s="153" t="s">
        <v>275</v>
      </c>
      <c r="EN15" s="369">
        <f>EQ15+EQ16+EQ17</f>
        <v>28392284.219999999</v>
      </c>
      <c r="EO15" s="84">
        <f>$DG$15+70.74+25.8+0.88</f>
        <v>364.37</v>
      </c>
      <c r="EP15" s="85">
        <f>EO15*$CZ$15</f>
        <v>7358816.5200000005</v>
      </c>
      <c r="EQ15" s="85">
        <v>24652200</v>
      </c>
      <c r="ER15" s="85" t="s">
        <v>357</v>
      </c>
      <c r="ES15" s="376" t="s">
        <v>380</v>
      </c>
      <c r="ET15" s="92">
        <f>EQ15+EQ16+EQ17</f>
        <v>28392284.219999999</v>
      </c>
      <c r="EU15" s="78"/>
      <c r="EV15" s="78"/>
      <c r="EW15" s="78"/>
      <c r="EX15" s="153" t="s">
        <v>396</v>
      </c>
      <c r="EY15" s="369">
        <f>FB15+FB16+FB17</f>
        <v>28826552.359999999</v>
      </c>
      <c r="EZ15" s="84">
        <f>$DG$15+70.74+25.8+0.88</f>
        <v>364.37</v>
      </c>
      <c r="FA15" s="85">
        <f>EZ15*$CZ$15</f>
        <v>7358816.5200000005</v>
      </c>
      <c r="FB15" s="85">
        <f>24652200+434268.14</f>
        <v>25086468.140000001</v>
      </c>
      <c r="FC15" s="85" t="s">
        <v>357</v>
      </c>
      <c r="FD15" s="376" t="s">
        <v>380</v>
      </c>
      <c r="FE15" s="92">
        <f>FB15+FB16+FB17</f>
        <v>28826552.359999999</v>
      </c>
      <c r="FF15" s="85">
        <f>FE15-ET15</f>
        <v>434268.1400000006</v>
      </c>
      <c r="FG15" s="379" t="e">
        <f>FF15/#REF!</f>
        <v>#REF!</v>
      </c>
      <c r="FH15" s="185" t="s">
        <v>395</v>
      </c>
      <c r="FI15" s="78"/>
      <c r="FJ15" s="153" t="s">
        <v>396</v>
      </c>
      <c r="FK15" s="369" t="e">
        <f>FN15+FN16+FN17+#REF!</f>
        <v>#REF!</v>
      </c>
      <c r="FL15" s="84">
        <f>$DG$15+70.74+25.8+0.88+75.88</f>
        <v>440.25</v>
      </c>
      <c r="FM15" s="85">
        <f>FL15*$CZ$15</f>
        <v>8891289</v>
      </c>
      <c r="FN15" s="85">
        <f>24652200+434268.14-1572179</f>
        <v>23514289.140000001</v>
      </c>
      <c r="FO15" s="85" t="s">
        <v>357</v>
      </c>
      <c r="FP15" s="376" t="s">
        <v>380</v>
      </c>
      <c r="FQ15" s="92" t="e">
        <f>FN15+FN16+FN17+#REF!</f>
        <v>#REF!</v>
      </c>
      <c r="FR15" s="85" t="e">
        <f>FQ15-FE15</f>
        <v>#REF!</v>
      </c>
      <c r="FS15" s="379" t="e">
        <f>FR15/#REF!</f>
        <v>#REF!</v>
      </c>
      <c r="FT15" s="380" t="s">
        <v>402</v>
      </c>
      <c r="FU15" s="72"/>
      <c r="FV15" s="72" t="s">
        <v>404</v>
      </c>
      <c r="FW15" s="191" t="s">
        <v>416</v>
      </c>
      <c r="FX15" s="96">
        <f>20196-1836</f>
        <v>18360</v>
      </c>
      <c r="FY15" s="373">
        <f>364.37+263.606161</f>
        <v>627.97616100000005</v>
      </c>
      <c r="FZ15" s="85">
        <f t="shared" si="4"/>
        <v>11529642.315960001</v>
      </c>
      <c r="GA15" s="97">
        <f>266.95</f>
        <v>266.95</v>
      </c>
      <c r="GB15" s="81">
        <f>266.95+113.87</f>
        <v>380.82</v>
      </c>
      <c r="GC15" s="85">
        <f t="shared" si="39"/>
        <v>6991855.2000000002</v>
      </c>
      <c r="GD15" s="72"/>
      <c r="GE15" s="172"/>
      <c r="GF15" s="72"/>
      <c r="GG15" s="72"/>
      <c r="GH15" s="171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T15" s="376" t="s">
        <v>380</v>
      </c>
      <c r="GU15" s="92">
        <f>FN15+FN16+FN17</f>
        <v>27254373.359999999</v>
      </c>
      <c r="GV15" s="85">
        <f>GU15-FF15</f>
        <v>26820105.219999999</v>
      </c>
      <c r="GW15" s="379" t="e">
        <f>GV15/#REF!</f>
        <v>#REF!</v>
      </c>
      <c r="GX15" s="185" t="s">
        <v>395</v>
      </c>
      <c r="GY15" s="88"/>
      <c r="GZ15" s="90"/>
      <c r="HA15" s="153" t="s">
        <v>275</v>
      </c>
      <c r="HB15" s="369">
        <v>10745500</v>
      </c>
      <c r="HC15" s="370">
        <f t="shared" si="40"/>
        <v>27254392.2981585</v>
      </c>
      <c r="HD15" s="85" t="e">
        <f t="shared" si="41"/>
        <v>#VALUE!</v>
      </c>
      <c r="HE15" s="72"/>
      <c r="HF15" s="153" t="s">
        <v>275</v>
      </c>
      <c r="HG15" s="369">
        <v>10745500</v>
      </c>
      <c r="HH15" s="370">
        <f t="shared" si="42"/>
        <v>27254394.205365401</v>
      </c>
      <c r="HI15" s="85" t="e">
        <f t="shared" si="43"/>
        <v>#VALUE!</v>
      </c>
      <c r="HJ15" s="72"/>
      <c r="HK15" s="153" t="s">
        <v>275</v>
      </c>
      <c r="HL15" s="369">
        <v>10745500</v>
      </c>
      <c r="HM15" s="370">
        <f t="shared" si="44"/>
        <v>27254403.878835101</v>
      </c>
      <c r="HN15" s="85" t="e">
        <f t="shared" si="45"/>
        <v>#VALUE!</v>
      </c>
      <c r="HO15" s="72"/>
      <c r="HP15" s="72"/>
      <c r="HQ15" s="72"/>
      <c r="HR15" s="83">
        <v>505.41846575750634</v>
      </c>
      <c r="HS15" s="91">
        <v>9534213.9380495995</v>
      </c>
      <c r="HT15" s="90"/>
      <c r="HU15" s="90"/>
      <c r="HV15" s="90"/>
      <c r="HW15" s="84" t="e">
        <f t="shared" si="5"/>
        <v>#VALUE!</v>
      </c>
      <c r="HX15" s="85">
        <f t="shared" si="46"/>
        <v>9534213.9380495995</v>
      </c>
      <c r="HY15" s="90"/>
      <c r="HZ15" s="92"/>
      <c r="IA15" s="84" t="e">
        <f t="shared" si="6"/>
        <v>#VALUE!</v>
      </c>
      <c r="IB15" s="85" t="e">
        <f t="shared" si="60"/>
        <v>#VALUE!</v>
      </c>
      <c r="IC15" s="72"/>
      <c r="ID15" s="90"/>
      <c r="IE15" s="84" t="e">
        <f t="shared" si="7"/>
        <v>#VALUE!</v>
      </c>
      <c r="IF15" s="85" t="e">
        <f t="shared" si="47"/>
        <v>#VALUE!</v>
      </c>
      <c r="IG15" s="90"/>
      <c r="IH15" s="90"/>
      <c r="II15" s="84" t="e">
        <f t="shared" si="8"/>
        <v>#VALUE!</v>
      </c>
      <c r="IJ15" s="86" t="e">
        <f t="shared" si="48"/>
        <v>#VALUE!</v>
      </c>
      <c r="IK15" s="81" t="e">
        <f t="shared" si="49"/>
        <v>#VALUE!</v>
      </c>
      <c r="IL15" s="90"/>
      <c r="IM15" s="90"/>
      <c r="IN15" s="84" t="e">
        <f t="shared" si="9"/>
        <v>#VALUE!</v>
      </c>
      <c r="IO15" s="86" t="e">
        <f t="shared" si="50"/>
        <v>#VALUE!</v>
      </c>
      <c r="IP15" s="81" t="e">
        <f t="shared" si="51"/>
        <v>#VALUE!</v>
      </c>
      <c r="IQ15" s="90"/>
      <c r="IR15" s="90"/>
      <c r="IS15" s="90"/>
      <c r="IT15" s="90"/>
      <c r="IU15" s="84" t="e">
        <f t="shared" si="10"/>
        <v>#VALUE!</v>
      </c>
      <c r="IV15" s="86" t="e">
        <f t="shared" si="52"/>
        <v>#VALUE!</v>
      </c>
      <c r="IW15" s="81" t="e">
        <f t="shared" si="53"/>
        <v>#VALUE!</v>
      </c>
      <c r="IX15" s="90"/>
      <c r="IY15" s="90"/>
      <c r="IZ15" s="90"/>
      <c r="JA15" s="90"/>
      <c r="JB15" s="87">
        <v>212.43</v>
      </c>
      <c r="JC15" s="169">
        <v>38916</v>
      </c>
      <c r="JD15" s="88">
        <v>199.8</v>
      </c>
      <c r="JE15" s="89">
        <v>7775416.7999999998</v>
      </c>
      <c r="JF15" s="88">
        <f t="shared" si="11"/>
        <v>204.49717673964435</v>
      </c>
      <c r="JG15" s="89">
        <f t="shared" si="12"/>
        <v>7958212.1299999999</v>
      </c>
      <c r="JH15" s="88">
        <f t="shared" si="13"/>
        <v>211.92114117586596</v>
      </c>
      <c r="JI15" s="89">
        <f t="shared" si="54"/>
        <v>8247123.1299999999</v>
      </c>
      <c r="JJ15" s="88">
        <f t="shared" si="14"/>
        <v>212.21322326729367</v>
      </c>
      <c r="JK15" s="89">
        <f t="shared" si="55"/>
        <v>8258489.7966700001</v>
      </c>
      <c r="JL15" s="88">
        <f t="shared" si="15"/>
        <v>212.42735969781066</v>
      </c>
      <c r="JM15" s="89">
        <f t="shared" si="56"/>
        <v>8266823.1299999999</v>
      </c>
      <c r="JN15" s="89"/>
      <c r="JR15" s="74" t="s">
        <v>225</v>
      </c>
      <c r="JU15" s="74" t="s">
        <v>225</v>
      </c>
    </row>
    <row r="16" spans="1:288" ht="68.25" x14ac:dyDescent="0.25">
      <c r="A16" s="80" t="s">
        <v>220</v>
      </c>
      <c r="B16" s="80" t="s">
        <v>612</v>
      </c>
      <c r="C16" s="59" t="s">
        <v>221</v>
      </c>
      <c r="D16" s="187">
        <v>20844</v>
      </c>
      <c r="E16" s="187">
        <v>10980</v>
      </c>
      <c r="F16" s="187">
        <v>10980</v>
      </c>
      <c r="G16" s="187">
        <v>20844</v>
      </c>
      <c r="H16" s="187">
        <v>20844</v>
      </c>
      <c r="I16" s="81">
        <f>341.2+41.1+0.9</f>
        <v>383.2</v>
      </c>
      <c r="J16" s="81">
        <f t="shared" si="16"/>
        <v>7987420.7999999998</v>
      </c>
      <c r="K16" s="81">
        <v>341.2</v>
      </c>
      <c r="L16" s="81">
        <f t="shared" si="17"/>
        <v>7111972.7999999998</v>
      </c>
      <c r="M16" s="81">
        <v>341.2</v>
      </c>
      <c r="N16" s="81">
        <f t="shared" si="18"/>
        <v>7111972.7999999998</v>
      </c>
      <c r="O16" s="90"/>
      <c r="P16" s="90"/>
      <c r="Q16" s="90"/>
      <c r="R16" s="181">
        <v>20844</v>
      </c>
      <c r="S16" s="85">
        <v>341.2</v>
      </c>
      <c r="T16" s="85">
        <f t="shared" si="19"/>
        <v>7111972.7999999998</v>
      </c>
      <c r="U16" s="90"/>
      <c r="V16" s="85">
        <f>341.2+41.1</f>
        <v>382.3</v>
      </c>
      <c r="W16" s="85">
        <f t="shared" si="57"/>
        <v>7968661.2000000002</v>
      </c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181">
        <v>10980</v>
      </c>
      <c r="AT16" s="85">
        <v>279.39999999999998</v>
      </c>
      <c r="AU16" s="85">
        <f t="shared" si="0"/>
        <v>3067811.9999999995</v>
      </c>
      <c r="AV16" s="90"/>
      <c r="AW16" s="181">
        <v>10981</v>
      </c>
      <c r="AX16" s="81">
        <f>279.4-0.02</f>
        <v>279.38</v>
      </c>
      <c r="AY16" s="85">
        <f t="shared" si="20"/>
        <v>3067871.78</v>
      </c>
      <c r="AZ16" s="90"/>
      <c r="BA16" s="381">
        <v>10982</v>
      </c>
      <c r="BB16" s="382">
        <f>279.4-0.05</f>
        <v>279.34999999999997</v>
      </c>
      <c r="BC16" s="85">
        <f t="shared" si="21"/>
        <v>3067821.6999999997</v>
      </c>
      <c r="BD16" s="90"/>
      <c r="BE16" s="90"/>
      <c r="BF16" s="90"/>
      <c r="BG16" s="81">
        <f t="shared" si="22"/>
        <v>361.88257536156129</v>
      </c>
      <c r="BH16" s="85">
        <f t="shared" si="23"/>
        <v>3973470.6774699432</v>
      </c>
      <c r="BI16" s="90"/>
      <c r="BJ16" s="81">
        <f>AX16+BK10</f>
        <v>221.29763010819914</v>
      </c>
      <c r="BK16" s="85">
        <f t="shared" si="24"/>
        <v>2430069.2762181349</v>
      </c>
      <c r="BL16" s="90"/>
      <c r="BM16" s="81">
        <f t="shared" si="25"/>
        <v>177.04823368358547</v>
      </c>
      <c r="BN16" s="85">
        <f t="shared" si="26"/>
        <v>1944343.7023131356</v>
      </c>
      <c r="BO16" s="72"/>
      <c r="BP16" s="90"/>
      <c r="BQ16" s="90"/>
      <c r="BR16" s="81">
        <f t="shared" si="27"/>
        <v>361.88257536156129</v>
      </c>
      <c r="BS16" s="85">
        <f t="shared" si="28"/>
        <v>3973470.6774699432</v>
      </c>
      <c r="BT16" s="90"/>
      <c r="BU16" s="90"/>
      <c r="BV16" s="81">
        <f t="shared" si="58"/>
        <v>363.0783411744207</v>
      </c>
      <c r="BW16" s="85">
        <f t="shared" si="29"/>
        <v>3986600.1860951395</v>
      </c>
      <c r="BX16" s="90"/>
      <c r="BY16" s="90"/>
      <c r="BZ16" s="81">
        <f t="shared" si="30"/>
        <v>371.44959008538075</v>
      </c>
      <c r="CA16" s="85">
        <f t="shared" si="31"/>
        <v>4078516.4991374807</v>
      </c>
      <c r="CB16" s="90"/>
      <c r="CC16" s="90"/>
      <c r="CD16" s="182">
        <f>10116+11232</f>
        <v>21348</v>
      </c>
      <c r="CE16" s="85">
        <f>279.4+48.07+0.077442</f>
        <v>327.54744199999999</v>
      </c>
      <c r="CF16" s="85">
        <f t="shared" si="1"/>
        <v>6992482.7918159999</v>
      </c>
      <c r="CG16" s="90"/>
      <c r="CH16" s="181">
        <f>10981+10403</f>
        <v>21384</v>
      </c>
      <c r="CI16" s="81">
        <f>279.4-0.02+9.65</f>
        <v>289.02999999999997</v>
      </c>
      <c r="CJ16" s="85">
        <f t="shared" si="32"/>
        <v>6180617.5199999996</v>
      </c>
      <c r="CK16" s="90"/>
      <c r="CL16" s="381">
        <f>10982+10402</f>
        <v>21384</v>
      </c>
      <c r="CM16" s="382">
        <f>279.4-0.05+9.65</f>
        <v>288.99999999999994</v>
      </c>
      <c r="CN16" s="85">
        <f t="shared" si="33"/>
        <v>6179975.9999999991</v>
      </c>
      <c r="CO16" s="90"/>
      <c r="CP16" s="90"/>
      <c r="CQ16" s="81">
        <f t="shared" si="34"/>
        <v>337.95660950649221</v>
      </c>
      <c r="CR16" s="85">
        <f t="shared" si="35"/>
        <v>7214697.6997445961</v>
      </c>
      <c r="CS16" s="90"/>
      <c r="CT16" s="90"/>
      <c r="CU16" s="90"/>
      <c r="CV16" s="81">
        <f t="shared" si="59"/>
        <v>329.83270227360117</v>
      </c>
      <c r="CW16" s="85">
        <f t="shared" si="36"/>
        <v>7041268.5281368382</v>
      </c>
      <c r="CX16" s="90"/>
      <c r="CY16" s="90"/>
      <c r="CZ16" s="181">
        <v>11772</v>
      </c>
      <c r="DA16" s="85">
        <v>266.25</v>
      </c>
      <c r="DB16" s="85">
        <f t="shared" si="2"/>
        <v>3134295</v>
      </c>
      <c r="DC16" s="72"/>
      <c r="DD16" s="72"/>
      <c r="DE16" s="153" t="s">
        <v>239</v>
      </c>
      <c r="DF16" s="369">
        <f>DF11+DF15</f>
        <v>45830885.5</v>
      </c>
      <c r="DG16" s="370">
        <v>266.25</v>
      </c>
      <c r="DH16" s="85">
        <f t="shared" si="37"/>
        <v>3134295</v>
      </c>
      <c r="DI16" s="72"/>
      <c r="DJ16" s="85">
        <v>3305215.15</v>
      </c>
      <c r="DK16" s="185" t="s">
        <v>359</v>
      </c>
      <c r="DL16" s="72"/>
      <c r="DM16" s="72"/>
      <c r="DN16" s="153" t="s">
        <v>239</v>
      </c>
      <c r="DO16" s="369">
        <f>DO11+DO15</f>
        <v>50368974.57</v>
      </c>
      <c r="DP16" s="84">
        <f>$DG$16+69.81</f>
        <v>336.06</v>
      </c>
      <c r="DQ16" s="85">
        <f t="shared" si="3"/>
        <v>3956098.32</v>
      </c>
      <c r="DR16" s="85">
        <v>3305215.15</v>
      </c>
      <c r="DS16" s="185" t="s">
        <v>359</v>
      </c>
      <c r="DT16" s="72"/>
      <c r="DU16" s="72"/>
      <c r="DV16" s="84">
        <f>$DG$16+70.74</f>
        <v>336.99</v>
      </c>
      <c r="DW16" s="85">
        <f t="shared" si="38"/>
        <v>3967046.2800000003</v>
      </c>
      <c r="DX16" s="72"/>
      <c r="DY16" s="90"/>
      <c r="DZ16" s="90"/>
      <c r="EA16" s="153" t="s">
        <v>239</v>
      </c>
      <c r="EB16" s="369">
        <f>EB11+EB15</f>
        <v>52440014.129999995</v>
      </c>
      <c r="EC16" s="84">
        <f>$DG$16+70.74+25.8</f>
        <v>362.79</v>
      </c>
      <c r="ED16" s="85">
        <f>EC16*$CZ$16</f>
        <v>4270763.88</v>
      </c>
      <c r="EE16" s="85">
        <f>3305215.15+375000</f>
        <v>3680215.15</v>
      </c>
      <c r="EF16" s="185" t="s">
        <v>359</v>
      </c>
      <c r="EG16" s="72" t="s">
        <v>378</v>
      </c>
      <c r="EH16" s="376" t="s">
        <v>381</v>
      </c>
      <c r="EI16" s="188">
        <f>EI15+EI14</f>
        <v>52440014.129999995</v>
      </c>
      <c r="EJ16" s="78"/>
      <c r="EK16" s="346"/>
      <c r="EL16" s="346"/>
      <c r="EM16" s="153" t="s">
        <v>239</v>
      </c>
      <c r="EN16" s="369">
        <f>EN11+EN15</f>
        <v>52496455.93</v>
      </c>
      <c r="EO16" s="84">
        <f>$DG$16+70.74+25.8+0.88</f>
        <v>363.67</v>
      </c>
      <c r="EP16" s="85">
        <f>EO16*$CZ$16</f>
        <v>4281123.24</v>
      </c>
      <c r="EQ16" s="85">
        <f>3305215.15+375000</f>
        <v>3680215.15</v>
      </c>
      <c r="ER16" s="185" t="s">
        <v>359</v>
      </c>
      <c r="ES16" s="376" t="s">
        <v>381</v>
      </c>
      <c r="ET16" s="92">
        <f>ET15+ET14</f>
        <v>52496455.93</v>
      </c>
      <c r="EU16" s="78"/>
      <c r="EV16" s="347" t="s">
        <v>387</v>
      </c>
      <c r="EW16" s="347"/>
      <c r="EX16" s="153" t="s">
        <v>239</v>
      </c>
      <c r="EY16" s="369">
        <f>EY11+EY15</f>
        <v>52930724.07</v>
      </c>
      <c r="EZ16" s="84">
        <f>$DG$16+70.74+25.8+0.88</f>
        <v>363.67</v>
      </c>
      <c r="FA16" s="85">
        <f>EZ16*$CZ$16</f>
        <v>4281123.24</v>
      </c>
      <c r="FB16" s="85">
        <f>3305215.15+375000</f>
        <v>3680215.15</v>
      </c>
      <c r="FC16" s="185" t="s">
        <v>359</v>
      </c>
      <c r="FD16" s="376" t="s">
        <v>381</v>
      </c>
      <c r="FE16" s="92">
        <f>FE15+FE14</f>
        <v>52930724.07</v>
      </c>
      <c r="FF16" s="78"/>
      <c r="FG16" s="347" t="s">
        <v>387</v>
      </c>
      <c r="FH16" s="347"/>
      <c r="FI16" s="347"/>
      <c r="FJ16" s="383" t="s">
        <v>239</v>
      </c>
      <c r="FK16" s="384" t="e">
        <f>FK11+FK15</f>
        <v>#REF!</v>
      </c>
      <c r="FL16" s="84">
        <f>$DG$16+70.74+25.8+0.88+75.88</f>
        <v>439.55</v>
      </c>
      <c r="FM16" s="85">
        <f>FL16*$CZ$16</f>
        <v>5174382.6000000006</v>
      </c>
      <c r="FN16" s="85">
        <f>3305215.15+375000</f>
        <v>3680215.15</v>
      </c>
      <c r="FO16" s="185" t="s">
        <v>359</v>
      </c>
      <c r="FP16" s="376" t="s">
        <v>381</v>
      </c>
      <c r="FQ16" s="132" t="e">
        <f>FQ15+FQ14</f>
        <v>#REF!</v>
      </c>
      <c r="FR16" s="78"/>
      <c r="FS16" s="78"/>
      <c r="FT16" s="78"/>
      <c r="FU16" s="78"/>
      <c r="FV16" s="78"/>
      <c r="FW16" s="191" t="s">
        <v>417</v>
      </c>
      <c r="FX16" s="96">
        <f>11772-1944</f>
        <v>9828</v>
      </c>
      <c r="FY16" s="85">
        <f>363.67+263.61</f>
        <v>627.28</v>
      </c>
      <c r="FZ16" s="85">
        <f t="shared" si="4"/>
        <v>6164907.8399999999</v>
      </c>
      <c r="GA16" s="97">
        <f>266.25</f>
        <v>266.25</v>
      </c>
      <c r="GB16" s="81">
        <f>266.25+113.86</f>
        <v>380.11</v>
      </c>
      <c r="GC16" s="85">
        <f t="shared" si="39"/>
        <v>3735721.08</v>
      </c>
      <c r="GD16" s="92"/>
      <c r="GE16" s="72"/>
      <c r="GF16" s="72"/>
      <c r="GG16" s="72"/>
      <c r="GH16" s="201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T16" s="376" t="s">
        <v>381</v>
      </c>
      <c r="GU16" s="92">
        <f>GU15+GU14</f>
        <v>56226747.870000005</v>
      </c>
      <c r="GV16" s="78"/>
      <c r="GW16" s="347" t="s">
        <v>387</v>
      </c>
      <c r="GX16" s="347"/>
      <c r="GY16" s="88"/>
      <c r="GZ16" s="90"/>
      <c r="HA16" s="153" t="s">
        <v>113</v>
      </c>
      <c r="HB16" s="369">
        <f>HB11+HB15</f>
        <v>43571169</v>
      </c>
      <c r="HC16" s="370">
        <f t="shared" si="40"/>
        <v>56226766.808158502</v>
      </c>
      <c r="HD16" s="85" t="e">
        <f t="shared" si="41"/>
        <v>#VALUE!</v>
      </c>
      <c r="HE16" s="72"/>
      <c r="HF16" s="153" t="s">
        <v>113</v>
      </c>
      <c r="HG16" s="369">
        <f>HG11+HG15</f>
        <v>43689194.590000004</v>
      </c>
      <c r="HH16" s="370">
        <f t="shared" si="42"/>
        <v>56226768.715365402</v>
      </c>
      <c r="HI16" s="85" t="e">
        <f t="shared" si="43"/>
        <v>#VALUE!</v>
      </c>
      <c r="HJ16" s="72"/>
      <c r="HK16" s="153" t="s">
        <v>113</v>
      </c>
      <c r="HL16" s="369">
        <f>HL11+HL15</f>
        <v>44287827.590000004</v>
      </c>
      <c r="HM16" s="370">
        <f t="shared" si="44"/>
        <v>56226778.388835102</v>
      </c>
      <c r="HN16" s="85" t="e">
        <f t="shared" si="45"/>
        <v>#VALUE!</v>
      </c>
      <c r="HO16" s="72"/>
      <c r="HP16" s="72"/>
      <c r="HQ16" s="72"/>
      <c r="HR16" s="83"/>
      <c r="HS16" s="91"/>
      <c r="HT16" s="90"/>
      <c r="HU16" s="90"/>
      <c r="HV16" s="90"/>
      <c r="HW16" s="84"/>
      <c r="HX16" s="85"/>
      <c r="HY16" s="90"/>
      <c r="HZ16" s="92"/>
      <c r="IA16" s="84"/>
      <c r="IB16" s="85"/>
      <c r="IC16" s="72"/>
      <c r="ID16" s="90"/>
      <c r="IE16" s="84"/>
      <c r="IF16" s="85"/>
      <c r="IG16" s="90"/>
      <c r="IH16" s="90"/>
      <c r="II16" s="84"/>
      <c r="IJ16" s="86"/>
      <c r="IK16" s="81"/>
      <c r="IL16" s="90"/>
      <c r="IM16" s="90"/>
      <c r="IN16" s="84"/>
      <c r="IO16" s="86"/>
      <c r="IP16" s="81"/>
      <c r="IQ16" s="259"/>
      <c r="IR16" s="259"/>
      <c r="IS16" s="90"/>
      <c r="IT16" s="90"/>
      <c r="IU16" s="84"/>
      <c r="IV16" s="86"/>
      <c r="IW16" s="81"/>
      <c r="IX16" s="259"/>
      <c r="IY16" s="259"/>
      <c r="IZ16" s="90"/>
      <c r="JA16" s="90"/>
      <c r="JB16" s="93">
        <v>219.87</v>
      </c>
      <c r="JC16" s="169">
        <v>18540</v>
      </c>
      <c r="JD16" s="88">
        <v>193.36</v>
      </c>
      <c r="JE16" s="89">
        <v>3584894.4</v>
      </c>
      <c r="JF16" s="88">
        <f t="shared" si="11"/>
        <v>203.21951078748651</v>
      </c>
      <c r="JG16" s="89">
        <f t="shared" si="12"/>
        <v>3767689.73</v>
      </c>
      <c r="JH16" s="88">
        <f t="shared" si="13"/>
        <v>218.80262837108953</v>
      </c>
      <c r="JI16" s="89">
        <f t="shared" si="54"/>
        <v>4056600.73</v>
      </c>
      <c r="JJ16" s="88">
        <f t="shared" si="14"/>
        <v>219.41571718824164</v>
      </c>
      <c r="JK16" s="89">
        <f t="shared" si="55"/>
        <v>4067967.3966700002</v>
      </c>
      <c r="JL16" s="88">
        <f t="shared" si="15"/>
        <v>219.86519579288026</v>
      </c>
      <c r="JM16" s="89">
        <f t="shared" si="56"/>
        <v>4076300.73</v>
      </c>
      <c r="JN16" s="176" t="s">
        <v>330</v>
      </c>
      <c r="JP16" s="348"/>
      <c r="JQ16" s="348"/>
      <c r="JR16" s="349"/>
      <c r="JS16" s="350"/>
      <c r="JT16" s="349"/>
      <c r="JU16" s="349"/>
      <c r="JV16" s="351"/>
      <c r="JW16" s="126" t="s">
        <v>331</v>
      </c>
      <c r="JX16" s="175" t="s">
        <v>332</v>
      </c>
      <c r="JY16" s="178" t="s">
        <v>333</v>
      </c>
      <c r="JZ16" s="126" t="s">
        <v>335</v>
      </c>
      <c r="KA16" s="126"/>
      <c r="KB16" s="126" t="s">
        <v>334</v>
      </c>
    </row>
    <row r="17" spans="1:288" ht="27" customHeight="1" x14ac:dyDescent="0.25">
      <c r="A17" s="94" t="s">
        <v>226</v>
      </c>
      <c r="B17" s="95" t="s">
        <v>227</v>
      </c>
      <c r="C17" s="59"/>
      <c r="D17" s="96">
        <f>SUM(D11:D16)</f>
        <v>165744</v>
      </c>
      <c r="E17" s="96">
        <f>SUM(E11:E16)</f>
        <v>68868</v>
      </c>
      <c r="F17" s="96">
        <f>SUM(F11:F16)</f>
        <v>68868</v>
      </c>
      <c r="G17" s="96">
        <f>SUM(G11:G16)</f>
        <v>165744</v>
      </c>
      <c r="H17" s="96">
        <f>SUM(H11:H16)</f>
        <v>165744</v>
      </c>
      <c r="I17" s="97">
        <f>J17/D17</f>
        <v>383.25285083735884</v>
      </c>
      <c r="J17" s="97">
        <f>SUM(J11:J16)</f>
        <v>63521860.509187199</v>
      </c>
      <c r="K17" s="97">
        <f>L17/G17</f>
        <v>341.23986389844578</v>
      </c>
      <c r="L17" s="97">
        <f>SUM(L11:L16)</f>
        <v>56558460.001984</v>
      </c>
      <c r="M17" s="97">
        <f>N17/H17</f>
        <v>341.23986389844578</v>
      </c>
      <c r="N17" s="97">
        <f>SUM(N11:N16)</f>
        <v>56558460.001984</v>
      </c>
      <c r="O17" s="82"/>
      <c r="P17" s="82"/>
      <c r="Q17" s="82"/>
      <c r="R17" s="210">
        <f>SUM(R11:R16)</f>
        <v>165744</v>
      </c>
      <c r="S17" s="84">
        <f>T17/R17</f>
        <v>341.24010522251183</v>
      </c>
      <c r="T17" s="84">
        <f>SUM(T11:T16)</f>
        <v>56558500</v>
      </c>
      <c r="U17" s="82"/>
      <c r="V17" s="84">
        <f>W17/R17</f>
        <v>382.34784068618592</v>
      </c>
      <c r="W17" s="84">
        <f>SUM(W11:W16)</f>
        <v>63371860.506691203</v>
      </c>
      <c r="X17" s="82">
        <f>W24-W18</f>
        <v>63371860.509999998</v>
      </c>
      <c r="Y17" s="132">
        <v>56558460</v>
      </c>
      <c r="Z17" s="82"/>
      <c r="AA17" s="82"/>
      <c r="AB17" s="82"/>
      <c r="AC17" s="82"/>
      <c r="AD17" s="82"/>
      <c r="AE17" s="82"/>
      <c r="AF17" s="35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210">
        <f>SUM(AS11:AS16)</f>
        <v>68868</v>
      </c>
      <c r="AT17" s="84">
        <f>AU17/AS17</f>
        <v>279.41102456874017</v>
      </c>
      <c r="AU17" s="84">
        <f>SUM(AU11:AU16)</f>
        <v>19242478.439999998</v>
      </c>
      <c r="AV17" s="82"/>
      <c r="AW17" s="182">
        <f>SUM(AW11:AW16)</f>
        <v>68873</v>
      </c>
      <c r="AX17" s="97">
        <f>AY17/AW17</f>
        <v>279.39074008040888</v>
      </c>
      <c r="AY17" s="84">
        <f>SUM(AY11:AY16)</f>
        <v>19242478.441558</v>
      </c>
      <c r="AZ17" s="82"/>
      <c r="BA17" s="182">
        <f>SUM(BA11:BA16)</f>
        <v>68878</v>
      </c>
      <c r="BB17" s="97">
        <f>BC17/BA17</f>
        <v>279.3704584967914</v>
      </c>
      <c r="BC17" s="84">
        <f>SUM(BC11:BC16)</f>
        <v>19242478.440341998</v>
      </c>
      <c r="BD17" s="82"/>
      <c r="BE17" s="82"/>
      <c r="BF17" s="82"/>
      <c r="BG17" s="97">
        <f>BH17/AS17</f>
        <v>361.89359993030155</v>
      </c>
      <c r="BH17" s="97">
        <f>SUM(BH11:BH16)</f>
        <v>24922888.440000005</v>
      </c>
      <c r="BI17" s="82"/>
      <c r="BJ17" s="205">
        <f>BK17/AW17</f>
        <v>221.308370188608</v>
      </c>
      <c r="BK17" s="97">
        <f>SUM(BK11:BK16)</f>
        <v>15242171.379999999</v>
      </c>
      <c r="BL17" s="82"/>
      <c r="BM17" s="97">
        <f>BN17/BA17</f>
        <v>177.06869218037693</v>
      </c>
      <c r="BN17" s="97">
        <f>SUM(BN11:BN16)</f>
        <v>12196137.380000003</v>
      </c>
      <c r="BO17" s="132"/>
      <c r="BP17" s="82"/>
      <c r="BQ17" s="82"/>
      <c r="BR17" s="97">
        <f>BS17/AS17</f>
        <v>361.89359993030155</v>
      </c>
      <c r="BS17" s="97">
        <f>SUM(BS11:BS16)</f>
        <v>24922888.440000005</v>
      </c>
      <c r="BT17" s="82"/>
      <c r="BU17" s="82"/>
      <c r="BV17" s="97">
        <f>BW17/AS17</f>
        <v>363.0893657431609</v>
      </c>
      <c r="BW17" s="97">
        <f>SUM(BW11:BW16)</f>
        <v>25005238.440000005</v>
      </c>
      <c r="BX17" s="82"/>
      <c r="BY17" s="82"/>
      <c r="BZ17" s="97">
        <f>CA17/AW17</f>
        <v>371.43364758323293</v>
      </c>
      <c r="CA17" s="97">
        <f>SUM(CA11:CA16)</f>
        <v>25581749.610000003</v>
      </c>
      <c r="CB17" s="82"/>
      <c r="CC17" s="82"/>
      <c r="CD17" s="96">
        <f>SUM(CD11:CD16)</f>
        <v>168508</v>
      </c>
      <c r="CE17" s="81">
        <f>CF17/CD17</f>
        <v>327.49267709435759</v>
      </c>
      <c r="CF17" s="97">
        <f>SUM(CF11:CF16)</f>
        <v>55185136.031816006</v>
      </c>
      <c r="CG17" s="82"/>
      <c r="CH17" s="182">
        <f>SUM(CH11:CH16)</f>
        <v>168551</v>
      </c>
      <c r="CI17" s="81">
        <f>CJ17/CH17</f>
        <v>289.04060717463551</v>
      </c>
      <c r="CJ17" s="84">
        <f>SUM(CJ11:CJ16)</f>
        <v>48718083.379891992</v>
      </c>
      <c r="CK17" s="82"/>
      <c r="CL17" s="182">
        <f>SUM(CL11:CL16)</f>
        <v>168558</v>
      </c>
      <c r="CM17" s="81">
        <f>CN17/CL17</f>
        <v>289.02860368419181</v>
      </c>
      <c r="CN17" s="84">
        <f>SUM(CN11:CN16)</f>
        <v>48718083.379799999</v>
      </c>
      <c r="CO17" s="82"/>
      <c r="CP17" s="82"/>
      <c r="CQ17" s="82"/>
      <c r="CR17" s="97">
        <f>SUM(CR11:CR16)</f>
        <v>56939164.029999986</v>
      </c>
      <c r="CS17" s="82"/>
      <c r="CT17" s="82"/>
      <c r="CU17" s="82"/>
      <c r="CV17" s="82"/>
      <c r="CW17" s="97">
        <f>SUM(CW11:CW16)</f>
        <v>55570220.669999987</v>
      </c>
      <c r="CX17" s="82"/>
      <c r="CY17" s="82"/>
      <c r="CZ17" s="182">
        <f>SUM(CZ11:CZ16)</f>
        <v>64152</v>
      </c>
      <c r="DA17" s="84">
        <f>DB17/CZ17</f>
        <v>266.71242985409651</v>
      </c>
      <c r="DB17" s="84">
        <f>SUM(DB11:DB16)</f>
        <v>17110135.800000001</v>
      </c>
      <c r="DC17" s="72"/>
      <c r="DD17" s="72"/>
      <c r="DE17" s="84"/>
      <c r="DF17" s="152"/>
      <c r="DG17" s="81"/>
      <c r="DH17" s="84">
        <f>SUM(DH11:DH16)</f>
        <v>17110135.800000001</v>
      </c>
      <c r="DI17" s="92"/>
      <c r="DJ17" s="84">
        <f>SUM(DJ11:DJ16)</f>
        <v>45830885.5</v>
      </c>
      <c r="DK17" s="84"/>
      <c r="DL17" s="72"/>
      <c r="DM17" s="78" t="s">
        <v>361</v>
      </c>
      <c r="DN17" s="353">
        <f>DO16-DF16</f>
        <v>4538089.07</v>
      </c>
      <c r="DO17" s="354"/>
      <c r="DP17" s="81"/>
      <c r="DQ17" s="84">
        <f>SUM(DQ11:DQ16)</f>
        <v>21588339.746879999</v>
      </c>
      <c r="DR17" s="85">
        <v>59869.07</v>
      </c>
      <c r="DS17" s="85" t="s">
        <v>360</v>
      </c>
      <c r="DT17" s="92">
        <f>DT14-DQ18</f>
        <v>21588323.700000003</v>
      </c>
      <c r="DU17" s="188" t="s">
        <v>365</v>
      </c>
      <c r="DV17" s="81"/>
      <c r="DW17" s="84">
        <f>SUM(DW11:DW16)</f>
        <v>21648208.817376003</v>
      </c>
      <c r="DX17" s="92">
        <f>DX15-DH17</f>
        <v>4538073.0199999996</v>
      </c>
      <c r="DY17" s="355">
        <f>DX17/CZ17</f>
        <v>70.739384898366367</v>
      </c>
      <c r="DZ17" s="355"/>
      <c r="EA17" s="353"/>
      <c r="EB17" s="354"/>
      <c r="EC17" s="385" t="s">
        <v>375</v>
      </c>
      <c r="ED17" s="84">
        <f>SUM(ED11:ED16)</f>
        <v>23284363.258187998</v>
      </c>
      <c r="EE17" s="85">
        <v>59869.07</v>
      </c>
      <c r="EF17" s="85" t="s">
        <v>360</v>
      </c>
      <c r="EG17" s="92">
        <f>EI14-ED18</f>
        <v>23284363.260000002</v>
      </c>
      <c r="EH17" s="188" t="s">
        <v>374</v>
      </c>
      <c r="EI17" s="188">
        <f>EK14-DW17</f>
        <v>1636154.442623999</v>
      </c>
      <c r="EJ17" s="356">
        <f>EI17/CZ17</f>
        <v>25.504340357650563</v>
      </c>
      <c r="EK17" s="188"/>
      <c r="EL17" s="188"/>
      <c r="EM17" s="353"/>
      <c r="EN17" s="354"/>
      <c r="EO17" s="192" t="s">
        <v>375</v>
      </c>
      <c r="EP17" s="84">
        <f>SUM(EP11:EP16)</f>
        <v>23340805.060103998</v>
      </c>
      <c r="EQ17" s="85">
        <v>59869.07</v>
      </c>
      <c r="ER17" s="85" t="s">
        <v>360</v>
      </c>
      <c r="ES17" s="92">
        <f>ET14-EP18</f>
        <v>23340805.060000002</v>
      </c>
      <c r="ET17" s="188" t="s">
        <v>374</v>
      </c>
      <c r="EU17" s="188">
        <f>ES17-ED17</f>
        <v>56441.801812004298</v>
      </c>
      <c r="EV17" s="356">
        <f>EU17/$CZ$17</f>
        <v>0.87981359602201492</v>
      </c>
      <c r="EW17" s="356"/>
      <c r="EX17" s="353"/>
      <c r="EY17" s="354"/>
      <c r="EZ17" s="192" t="s">
        <v>375</v>
      </c>
      <c r="FA17" s="84">
        <f>SUM(FA11:FA16)</f>
        <v>23340805.060103998</v>
      </c>
      <c r="FB17" s="85">
        <v>59869.07</v>
      </c>
      <c r="FC17" s="85" t="s">
        <v>360</v>
      </c>
      <c r="FD17" s="92">
        <f>FE14-FA18</f>
        <v>23340805.060000002</v>
      </c>
      <c r="FE17" s="188" t="s">
        <v>374</v>
      </c>
      <c r="FF17" s="188"/>
      <c r="FG17" s="356">
        <f>FF17/$CZ$17</f>
        <v>0</v>
      </c>
      <c r="FH17" s="356"/>
      <c r="FI17" s="356"/>
      <c r="FJ17" s="353"/>
      <c r="FK17" s="354"/>
      <c r="FL17" s="192" t="s">
        <v>375</v>
      </c>
      <c r="FM17" s="84">
        <f>SUM(FM11:FM16)</f>
        <v>28209007.918476</v>
      </c>
      <c r="FN17" s="85">
        <v>59869.07</v>
      </c>
      <c r="FO17" s="85" t="s">
        <v>360</v>
      </c>
      <c r="FP17" s="72"/>
      <c r="FQ17" s="72"/>
      <c r="FR17" s="72"/>
      <c r="FS17" s="72"/>
      <c r="FT17" s="72"/>
      <c r="FU17" s="72"/>
      <c r="FV17" s="92">
        <v>16358248.109999999</v>
      </c>
      <c r="FW17" s="92">
        <v>28209007.920000002</v>
      </c>
      <c r="FX17" s="193">
        <f>SUM(FX11:FX16)</f>
        <v>44956</v>
      </c>
      <c r="FY17" s="84">
        <f>FZ17/FX17</f>
        <v>627.48037894741526</v>
      </c>
      <c r="FZ17" s="84">
        <f>SUM(FZ11:FZ16)</f>
        <v>28209007.915960003</v>
      </c>
      <c r="GA17" s="97">
        <f>GC17/FX17</f>
        <v>380.59737970566772</v>
      </c>
      <c r="GB17" s="97">
        <f>GC17/FX17</f>
        <v>380.59737970566772</v>
      </c>
      <c r="GC17" s="84">
        <f>SUM(GC11:GC16)</f>
        <v>17110135.802047998</v>
      </c>
      <c r="GD17" s="92"/>
      <c r="GE17" s="173"/>
      <c r="GF17" s="92"/>
      <c r="GG17" s="92"/>
      <c r="GH17" s="92"/>
      <c r="GI17" s="200"/>
      <c r="GJ17" s="92"/>
      <c r="GK17" s="92"/>
      <c r="GL17" s="92"/>
      <c r="GM17" s="92"/>
      <c r="GN17" s="92"/>
      <c r="GO17" s="92"/>
      <c r="GP17" s="92"/>
      <c r="GQ17" s="92"/>
      <c r="GR17" s="92"/>
      <c r="GT17" s="92" t="e">
        <f>GU14-FM18</f>
        <v>#REF!</v>
      </c>
      <c r="GU17" s="188" t="s">
        <v>374</v>
      </c>
      <c r="GV17" s="188"/>
      <c r="GW17" s="356">
        <f>GV17/$CZ$17</f>
        <v>0</v>
      </c>
      <c r="GX17" s="356"/>
      <c r="GY17" s="92"/>
      <c r="GZ17" s="82"/>
      <c r="HA17" s="84"/>
      <c r="HB17" s="152"/>
      <c r="HC17" s="81"/>
      <c r="HD17" s="84" t="e">
        <f>SUM(HD11:HD16)</f>
        <v>#VALUE!</v>
      </c>
      <c r="HE17" s="92"/>
      <c r="HF17" s="84"/>
      <c r="HG17" s="152"/>
      <c r="HH17" s="81"/>
      <c r="HI17" s="84" t="e">
        <f>SUM(HI11:HI16)</f>
        <v>#VALUE!</v>
      </c>
      <c r="HJ17" s="92"/>
      <c r="HK17" s="84"/>
      <c r="HL17" s="152"/>
      <c r="HM17" s="81"/>
      <c r="HN17" s="84" t="e">
        <f>SUM(HN11:HN16)</f>
        <v>#VALUE!</v>
      </c>
      <c r="HO17" s="92"/>
      <c r="HP17" s="92"/>
      <c r="HQ17" s="92"/>
      <c r="HR17" s="84"/>
      <c r="HS17" s="84"/>
      <c r="HT17" s="82"/>
      <c r="HU17" s="84"/>
      <c r="HV17" s="386"/>
      <c r="HW17" s="81"/>
      <c r="HX17" s="84"/>
      <c r="HY17" s="82"/>
      <c r="HZ17" s="82"/>
      <c r="IA17" s="81"/>
      <c r="IB17" s="84"/>
      <c r="IC17" s="92"/>
      <c r="ID17" s="82"/>
      <c r="IE17" s="84"/>
      <c r="IF17" s="84"/>
      <c r="IG17" s="82"/>
      <c r="IH17" s="82"/>
      <c r="II17" s="84"/>
      <c r="IJ17" s="84"/>
      <c r="IK17" s="82"/>
      <c r="IL17" s="82"/>
      <c r="IM17" s="132"/>
      <c r="IN17" s="84"/>
      <c r="IO17" s="84"/>
      <c r="IP17" s="101"/>
      <c r="IQ17" s="259"/>
      <c r="IR17" s="259"/>
      <c r="IS17" s="82"/>
      <c r="IT17" s="132"/>
      <c r="IU17" s="84"/>
      <c r="IV17" s="84"/>
      <c r="IW17" s="101"/>
      <c r="IX17" s="259"/>
      <c r="IY17" s="259"/>
      <c r="IZ17" s="357"/>
      <c r="JA17" s="82"/>
      <c r="JB17" s="87">
        <v>231.71</v>
      </c>
      <c r="JC17" s="387">
        <f>SUM(JC11:JC16)</f>
        <v>114192</v>
      </c>
      <c r="JE17" s="98">
        <f>SUM(JE11:JE16)</f>
        <v>22642242.800000001</v>
      </c>
      <c r="JF17" s="87">
        <f>1388260+5445800+21848112</f>
        <v>28682172</v>
      </c>
      <c r="JG17" s="88">
        <f>SUM(JG11:JG16)+0.02</f>
        <v>23739014.800000001</v>
      </c>
      <c r="JH17" s="98"/>
      <c r="JI17" s="388">
        <f>SUM(JI11:JI16)+0.02</f>
        <v>25472480.800000001</v>
      </c>
      <c r="JJ17" s="99"/>
      <c r="JK17" s="88">
        <f>SUM(JK11:JK16)+0.02</f>
        <v>25540680.800020002</v>
      </c>
      <c r="JM17" s="88">
        <f>SUM(JM11:JM16)+0.02</f>
        <v>25590680.800000001</v>
      </c>
      <c r="JN17" s="177">
        <v>18070083</v>
      </c>
      <c r="JO17" s="100"/>
      <c r="JP17" s="358"/>
      <c r="JQ17" s="359"/>
      <c r="JR17" s="360"/>
      <c r="JS17" s="359"/>
      <c r="JT17" s="361"/>
      <c r="JU17" s="360"/>
      <c r="JV17" s="359"/>
      <c r="JW17" s="108">
        <v>15760300</v>
      </c>
      <c r="JX17" s="103">
        <v>2113170.35</v>
      </c>
      <c r="JY17" s="117">
        <f>JW17+JX17</f>
        <v>17873470.350000001</v>
      </c>
      <c r="JZ17" s="117">
        <f>JY17-J19</f>
        <v>17489742.670000002</v>
      </c>
      <c r="KA17" s="103">
        <f>JN17-JZ17</f>
        <v>580340.32999999821</v>
      </c>
      <c r="KB17" s="109">
        <f>KA17/D17</f>
        <v>3.5014258736364408</v>
      </c>
    </row>
    <row r="18" spans="1:288" ht="47.45" customHeight="1" x14ac:dyDescent="0.25">
      <c r="A18" s="79" t="s">
        <v>220</v>
      </c>
      <c r="B18" s="80" t="s">
        <v>229</v>
      </c>
      <c r="C18" s="59" t="s">
        <v>230</v>
      </c>
      <c r="D18" s="59">
        <v>2</v>
      </c>
      <c r="E18" s="59">
        <v>2</v>
      </c>
      <c r="F18" s="59">
        <v>2</v>
      </c>
      <c r="G18" s="59">
        <f>2-2</f>
        <v>0</v>
      </c>
      <c r="H18" s="59">
        <f>1-1</f>
        <v>0</v>
      </c>
      <c r="I18" s="81">
        <v>191863.84</v>
      </c>
      <c r="J18" s="81">
        <f>D18*I18</f>
        <v>383727.68</v>
      </c>
      <c r="K18" s="81">
        <v>191863.84</v>
      </c>
      <c r="L18" s="81">
        <f>G18*K18</f>
        <v>0</v>
      </c>
      <c r="M18" s="81">
        <v>191863.84</v>
      </c>
      <c r="N18" s="81">
        <f>H18*M18</f>
        <v>0</v>
      </c>
      <c r="O18" s="90"/>
      <c r="P18" s="90"/>
      <c r="Q18" s="90"/>
      <c r="R18" s="181">
        <v>0</v>
      </c>
      <c r="S18" s="85">
        <v>191863.84</v>
      </c>
      <c r="T18" s="85">
        <f>S18*R18</f>
        <v>0</v>
      </c>
      <c r="U18" s="211">
        <v>2</v>
      </c>
      <c r="V18" s="85">
        <v>191863.84</v>
      </c>
      <c r="W18" s="85">
        <f>V18*U18</f>
        <v>383727.68</v>
      </c>
      <c r="X18" s="90"/>
      <c r="Y18" s="90">
        <f>T17-Y17</f>
        <v>40</v>
      </c>
      <c r="Z18" s="215">
        <f>Y18/R13</f>
        <v>3.5161744022503515E-3</v>
      </c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181">
        <v>4</v>
      </c>
      <c r="AT18" s="85">
        <v>191863.84</v>
      </c>
      <c r="AU18" s="85">
        <f>AT18*AS18-0.02</f>
        <v>767455.34</v>
      </c>
      <c r="AV18" s="90"/>
      <c r="AW18" s="73">
        <f>4-4</f>
        <v>0</v>
      </c>
      <c r="AX18" s="85">
        <f>191863.84-191863.84</f>
        <v>0</v>
      </c>
      <c r="AY18" s="85">
        <f>AW18*AX18</f>
        <v>0</v>
      </c>
      <c r="AZ18" s="90"/>
      <c r="BA18" s="73">
        <f>4-4</f>
        <v>0</v>
      </c>
      <c r="BB18" s="85">
        <f>191863.84-191863.84</f>
        <v>0</v>
      </c>
      <c r="BC18" s="85">
        <f>BA18*BB18</f>
        <v>0</v>
      </c>
      <c r="BD18" s="90"/>
      <c r="BE18" s="90"/>
      <c r="BF18" s="181">
        <v>4</v>
      </c>
      <c r="BG18" s="85">
        <v>191863.84</v>
      </c>
      <c r="BH18" s="85">
        <f>BG18*BF18-0.02</f>
        <v>767455.34</v>
      </c>
      <c r="BI18" s="90"/>
      <c r="BJ18" s="90"/>
      <c r="BK18" s="90"/>
      <c r="BL18" s="90"/>
      <c r="BM18" s="90"/>
      <c r="BN18" s="90"/>
      <c r="BO18" s="90"/>
      <c r="BP18" s="90"/>
      <c r="BQ18" s="181">
        <v>4</v>
      </c>
      <c r="BR18" s="85">
        <v>191863.84</v>
      </c>
      <c r="BS18" s="85">
        <f>BR18*BQ18-0.02</f>
        <v>767455.34</v>
      </c>
      <c r="BU18" s="90"/>
      <c r="BV18" s="85">
        <v>191863.84</v>
      </c>
      <c r="BW18" s="85">
        <f>BV18*BQ18-0.02</f>
        <v>767455.34</v>
      </c>
      <c r="BX18" s="90"/>
      <c r="BY18" s="90"/>
      <c r="BZ18" s="90"/>
      <c r="CA18" s="90"/>
      <c r="CB18" s="90"/>
      <c r="CC18" s="90"/>
      <c r="CD18" s="210">
        <v>4</v>
      </c>
      <c r="CE18" s="85">
        <v>191863.84</v>
      </c>
      <c r="CF18" s="84">
        <f>CE18*CD18-0.02</f>
        <v>767455.34</v>
      </c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85">
        <v>191863.84</v>
      </c>
      <c r="CR18" s="84">
        <f>CQ18*CD18-0.02</f>
        <v>767455.34</v>
      </c>
      <c r="CS18" s="90"/>
      <c r="CT18" s="90"/>
      <c r="CU18" s="90"/>
      <c r="CV18" s="85">
        <v>191863.84</v>
      </c>
      <c r="CW18" s="84">
        <f>CV18*CD18-0.02</f>
        <v>767455.34</v>
      </c>
      <c r="CX18" s="90"/>
      <c r="CY18" s="90"/>
      <c r="CZ18" s="181">
        <v>4</v>
      </c>
      <c r="DA18" s="85">
        <v>190837.65</v>
      </c>
      <c r="DB18" s="85">
        <f>DA18*CZ18</f>
        <v>763350.6</v>
      </c>
      <c r="DC18" s="72"/>
      <c r="DD18" s="72"/>
      <c r="DE18" s="72"/>
      <c r="DF18" s="72"/>
      <c r="DG18" s="85">
        <v>190837.65</v>
      </c>
      <c r="DH18" s="84">
        <f>DG18*CZ18</f>
        <v>763350.6</v>
      </c>
      <c r="DI18" s="72"/>
      <c r="DJ18" s="72"/>
      <c r="DK18" s="72"/>
      <c r="DL18" s="72"/>
      <c r="DM18" s="72"/>
      <c r="DN18" s="72"/>
      <c r="DO18" s="72">
        <v>190837.65</v>
      </c>
      <c r="DP18" s="85">
        <f>190837.65+4.0125</f>
        <v>190841.66250000001</v>
      </c>
      <c r="DQ18" s="84">
        <f>DP18*CZ18</f>
        <v>763366.65</v>
      </c>
      <c r="DR18" s="72"/>
      <c r="DS18" s="72"/>
      <c r="DT18" s="72"/>
      <c r="DU18" s="72"/>
      <c r="DV18" s="72"/>
      <c r="DW18" s="72"/>
      <c r="DX18" s="72"/>
      <c r="DY18" s="90"/>
      <c r="DZ18" s="90"/>
      <c r="EA18" s="72"/>
      <c r="EB18" s="72">
        <v>190837.65</v>
      </c>
      <c r="EC18" s="85">
        <f>190837.65+4.0125</f>
        <v>190841.66250000001</v>
      </c>
      <c r="ED18" s="84">
        <f>EC18*CZ18</f>
        <v>763366.65</v>
      </c>
      <c r="EE18" s="78" t="s">
        <v>376</v>
      </c>
      <c r="EF18" s="72"/>
      <c r="EG18" s="72"/>
      <c r="EH18" s="72"/>
      <c r="EI18" s="72"/>
      <c r="EJ18" s="72"/>
      <c r="EK18" s="72"/>
      <c r="EL18" s="72"/>
      <c r="EM18" s="72"/>
      <c r="EN18" s="72"/>
      <c r="EO18" s="85">
        <f>190837.65+4.0125</f>
        <v>190841.66250000001</v>
      </c>
      <c r="EP18" s="84">
        <f>EO18*CZ18</f>
        <v>763366.65</v>
      </c>
      <c r="EQ18" s="78" t="s">
        <v>376</v>
      </c>
      <c r="ER18" s="72"/>
      <c r="ES18" s="72"/>
      <c r="ET18" s="72"/>
      <c r="EU18" s="72"/>
      <c r="EV18" s="72"/>
      <c r="EW18" s="72"/>
      <c r="EX18" s="72"/>
      <c r="EY18" s="72"/>
      <c r="EZ18" s="85">
        <f>190837.65+4.0125</f>
        <v>190841.66250000001</v>
      </c>
      <c r="FA18" s="84">
        <f>EZ18*$CZ$18</f>
        <v>763366.65</v>
      </c>
      <c r="FB18" s="78" t="s">
        <v>376</v>
      </c>
      <c r="FC18" s="72"/>
      <c r="FD18" s="72"/>
      <c r="FE18" s="72"/>
      <c r="FF18" s="72"/>
      <c r="FG18" s="72"/>
      <c r="FH18" s="72"/>
      <c r="FI18" s="72"/>
      <c r="FJ18" s="72"/>
      <c r="FK18" s="72"/>
      <c r="FL18" s="84" t="e">
        <f>FM18/#REF!</f>
        <v>#REF!</v>
      </c>
      <c r="FM18" s="84" t="e">
        <f>SUM(#REF!)</f>
        <v>#REF!</v>
      </c>
      <c r="FN18" s="92"/>
      <c r="FO18" s="72"/>
      <c r="FP18" s="72"/>
      <c r="FQ18" s="72"/>
      <c r="FR18" s="72"/>
      <c r="FS18" s="72"/>
      <c r="FT18" s="72"/>
      <c r="FU18" s="72"/>
      <c r="FV18" s="72"/>
      <c r="FW18" s="72"/>
      <c r="FX18" s="181">
        <v>4</v>
      </c>
      <c r="FY18" s="85">
        <v>190841.66</v>
      </c>
      <c r="FZ18" s="84">
        <f>FY18*FX18+0.01</f>
        <v>763366.65</v>
      </c>
      <c r="GA18" s="72"/>
      <c r="GB18" s="85">
        <v>190837.65</v>
      </c>
      <c r="GC18" s="84">
        <f>GB18*FX18-0.02</f>
        <v>763350.58</v>
      </c>
      <c r="GD18" s="72"/>
      <c r="GE18" s="72"/>
      <c r="GF18" s="190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T18" s="72"/>
      <c r="GU18" s="72"/>
      <c r="GV18" s="72"/>
      <c r="GW18" s="72"/>
      <c r="GX18" s="90"/>
      <c r="GY18" s="110"/>
      <c r="GZ18" s="167" t="e">
        <f>#REF!-#REF!</f>
        <v>#REF!</v>
      </c>
      <c r="HA18" s="167" t="e">
        <f>#REF!-#REF!</f>
        <v>#REF!</v>
      </c>
      <c r="HB18" s="72" t="e">
        <f>#REF!-#REF!</f>
        <v>#REF!</v>
      </c>
      <c r="HC18" s="72" t="e">
        <f>#REF!-#REF!</f>
        <v>#REF!</v>
      </c>
      <c r="HD18" s="72" t="e">
        <f>#REF!-#REF!</f>
        <v>#REF!</v>
      </c>
      <c r="HE18" s="92">
        <v>4334708.4000000004</v>
      </c>
      <c r="HF18" s="362" t="s">
        <v>313</v>
      </c>
      <c r="HG18" s="72"/>
      <c r="HH18" s="72"/>
      <c r="HI18" s="110"/>
      <c r="HJ18" s="110"/>
      <c r="HK18" s="110"/>
      <c r="HL18" s="110"/>
      <c r="HM18" s="110"/>
      <c r="HN18" s="110"/>
      <c r="HO18" s="110"/>
      <c r="HP18" s="110"/>
      <c r="HQ18" s="110"/>
      <c r="HR18" s="111"/>
      <c r="HS18" s="111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  <c r="IY18" s="110"/>
      <c r="IZ18" s="110"/>
      <c r="JA18" s="110"/>
      <c r="JB18" s="8"/>
      <c r="JN18" s="179">
        <v>27957399.120000001</v>
      </c>
      <c r="JW18" s="108">
        <v>24652200</v>
      </c>
      <c r="JX18" s="74">
        <v>0</v>
      </c>
      <c r="JY18" s="108">
        <f>JW18</f>
        <v>24652200</v>
      </c>
      <c r="JZ18" s="108">
        <f>JN18-JY18</f>
        <v>3305199.120000001</v>
      </c>
      <c r="KA18" s="109" t="e">
        <f>JZ18/#REF!</f>
        <v>#REF!</v>
      </c>
    </row>
    <row r="19" spans="1:288" ht="30" customHeight="1" x14ac:dyDescent="0.25">
      <c r="A19" s="94" t="s">
        <v>231</v>
      </c>
      <c r="B19" s="95" t="s">
        <v>232</v>
      </c>
      <c r="C19" s="59"/>
      <c r="D19" s="112">
        <f>SUM(D18:D18)</f>
        <v>2</v>
      </c>
      <c r="E19" s="113">
        <f>SUM(E18:E18)</f>
        <v>2</v>
      </c>
      <c r="F19" s="113">
        <f>SUM(F18:F18)</f>
        <v>2</v>
      </c>
      <c r="G19" s="112">
        <f>SUM(G18:G18)</f>
        <v>0</v>
      </c>
      <c r="H19" s="112">
        <f>SUM(H18:H18)</f>
        <v>0</v>
      </c>
      <c r="I19" s="81">
        <f>I18</f>
        <v>191863.84</v>
      </c>
      <c r="J19" s="97">
        <f>SUM(J18:J18)</f>
        <v>383727.68</v>
      </c>
      <c r="K19" s="97">
        <f>K18</f>
        <v>191863.84</v>
      </c>
      <c r="L19" s="97">
        <f>SUM(L18:L18)</f>
        <v>0</v>
      </c>
      <c r="M19" s="81">
        <f>M18</f>
        <v>191863.84</v>
      </c>
      <c r="N19" s="97">
        <f>SUM(N18:N18)</f>
        <v>0</v>
      </c>
      <c r="O19" s="105"/>
      <c r="P19" s="105"/>
      <c r="Q19" s="105"/>
      <c r="R19" s="182"/>
      <c r="S19" s="84"/>
      <c r="T19" s="84">
        <f>T18+T17</f>
        <v>56558500</v>
      </c>
      <c r="U19" s="105"/>
      <c r="V19" s="84"/>
      <c r="W19" s="84">
        <f>W18+W17</f>
        <v>63755588.186691202</v>
      </c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82"/>
      <c r="AT19" s="84"/>
      <c r="AU19" s="84">
        <f>AU18+AU17</f>
        <v>20009933.779999997</v>
      </c>
      <c r="AV19" s="105"/>
      <c r="AW19" s="204"/>
      <c r="AX19" s="97"/>
      <c r="AY19" s="84">
        <f>AY18+AY17</f>
        <v>19242478.441558</v>
      </c>
      <c r="AZ19" s="105"/>
      <c r="BA19" s="105"/>
      <c r="BB19" s="105"/>
      <c r="BC19" s="84" t="e">
        <f>BC18+#REF!+BC17</f>
        <v>#REF!</v>
      </c>
      <c r="BD19" s="105"/>
      <c r="BE19" s="105"/>
      <c r="BF19" s="182"/>
      <c r="BG19" s="84"/>
      <c r="BH19" s="84">
        <f>BH18+BH17</f>
        <v>25690343.780000005</v>
      </c>
      <c r="BI19" s="105"/>
      <c r="BJ19" s="105"/>
      <c r="BK19" s="105"/>
      <c r="BL19" s="105"/>
      <c r="BM19" s="105"/>
      <c r="BN19" s="105"/>
      <c r="BO19" s="105"/>
      <c r="BP19" s="105"/>
      <c r="BQ19" s="182"/>
      <c r="BR19" s="84"/>
      <c r="BS19" s="97">
        <f>BS18+BS17</f>
        <v>25690343.780000005</v>
      </c>
      <c r="BU19" s="105"/>
      <c r="BV19" s="84"/>
      <c r="BW19" s="97">
        <f>BW18+BW17</f>
        <v>25772693.780000005</v>
      </c>
      <c r="BX19" s="105"/>
      <c r="BY19" s="105"/>
      <c r="BZ19" s="105"/>
      <c r="CA19" s="105"/>
      <c r="CB19" s="105"/>
      <c r="CC19" s="105"/>
      <c r="CD19" s="105"/>
      <c r="CE19" s="105"/>
      <c r="CF19" s="97">
        <f>CF17+CF18</f>
        <v>55952591.371816009</v>
      </c>
      <c r="CG19" s="92"/>
      <c r="CH19" s="92"/>
      <c r="CI19" s="92"/>
      <c r="CJ19" s="105"/>
      <c r="CK19" s="105"/>
      <c r="CL19" s="105"/>
      <c r="CM19" s="105"/>
      <c r="CN19" s="105"/>
      <c r="CO19" s="105"/>
      <c r="CP19" s="105"/>
      <c r="CQ19" s="105"/>
      <c r="CR19" s="132">
        <f>CR18+CR17</f>
        <v>57706619.36999999</v>
      </c>
      <c r="CS19" s="105"/>
      <c r="CT19" s="105"/>
      <c r="CU19" s="105"/>
      <c r="CV19" s="105"/>
      <c r="CW19" s="132">
        <f>CW18+CW17</f>
        <v>56337676.00999999</v>
      </c>
      <c r="CX19" s="105"/>
      <c r="CY19" s="105"/>
      <c r="CZ19" s="182">
        <v>4</v>
      </c>
      <c r="DA19" s="84"/>
      <c r="DB19" s="84"/>
      <c r="DC19" s="92"/>
      <c r="DD19" s="92"/>
      <c r="DE19" s="92"/>
      <c r="DF19" s="92"/>
      <c r="DG19" s="84"/>
      <c r="DH19" s="84" t="e">
        <f>DH18+#REF!+DH17</f>
        <v>#REF!</v>
      </c>
      <c r="DI19" s="92"/>
      <c r="DJ19" s="92"/>
      <c r="DK19" s="92"/>
      <c r="DL19" s="92"/>
      <c r="DM19" s="92"/>
      <c r="DN19" s="92"/>
      <c r="DO19" s="92"/>
      <c r="DP19" s="84"/>
      <c r="DQ19" s="84" t="e">
        <f>DQ18+#REF!+DQ17</f>
        <v>#REF!</v>
      </c>
      <c r="DR19" s="188" t="s">
        <v>366</v>
      </c>
      <c r="DS19" s="92"/>
      <c r="DT19" s="92"/>
      <c r="DU19" s="92"/>
      <c r="DV19" s="92"/>
      <c r="DW19" s="92"/>
      <c r="DX19" s="92"/>
      <c r="DY19" s="105"/>
      <c r="DZ19" s="105"/>
      <c r="EA19" s="92"/>
      <c r="EB19" s="92"/>
      <c r="EC19" s="84"/>
      <c r="ED19" s="84" t="e">
        <f>ED18+#REF!+ED17</f>
        <v>#REF!</v>
      </c>
      <c r="EE19" s="188" t="s">
        <v>383</v>
      </c>
      <c r="EF19" s="92"/>
      <c r="EG19" s="92"/>
      <c r="EH19" s="92"/>
      <c r="EI19" s="92"/>
      <c r="EJ19" s="92"/>
      <c r="EK19" s="92"/>
      <c r="EL19" s="92"/>
      <c r="EM19" s="92"/>
      <c r="EN19" s="92"/>
      <c r="EO19" s="84"/>
      <c r="EP19" s="84" t="e">
        <f>EP18+#REF!+EP17</f>
        <v>#REF!</v>
      </c>
      <c r="EQ19" s="188" t="s">
        <v>383</v>
      </c>
      <c r="ER19" s="92"/>
      <c r="ES19" s="92"/>
      <c r="ET19" s="92"/>
      <c r="EU19" s="92"/>
      <c r="EV19" s="92"/>
      <c r="EW19" s="92"/>
      <c r="EX19" s="92"/>
      <c r="EY19" s="92"/>
      <c r="EZ19" s="84"/>
      <c r="FA19" s="84" t="e">
        <f>FA18+#REF!+FA17</f>
        <v>#REF!</v>
      </c>
      <c r="FB19" s="188" t="s">
        <v>383</v>
      </c>
      <c r="FC19" s="92"/>
      <c r="FD19" s="92"/>
      <c r="FE19" s="92"/>
      <c r="FF19" s="92"/>
      <c r="FG19" s="92"/>
      <c r="FH19" s="92"/>
      <c r="FI19" s="92"/>
      <c r="FJ19" s="92"/>
      <c r="FK19" s="92"/>
      <c r="FL19" s="85">
        <f>190837.65+4.0125</f>
        <v>190841.66250000001</v>
      </c>
      <c r="FM19" s="84">
        <f>FL19*$CZ$18</f>
        <v>763366.65</v>
      </c>
      <c r="FN19" s="78" t="s">
        <v>376</v>
      </c>
      <c r="FO19" s="92"/>
      <c r="FP19" s="92"/>
      <c r="FQ19" s="92"/>
      <c r="FR19" s="92"/>
      <c r="FS19" s="92"/>
      <c r="FT19" s="92"/>
      <c r="FU19" s="92"/>
      <c r="FV19" s="92"/>
      <c r="FW19" s="92"/>
      <c r="FX19" s="84" t="s">
        <v>292</v>
      </c>
      <c r="FY19" s="84"/>
      <c r="FZ19" s="84" t="e">
        <f>FZ17+#REF!+FZ18</f>
        <v>#REF!</v>
      </c>
      <c r="GA19" s="92"/>
      <c r="GB19" s="84" t="s">
        <v>292</v>
      </c>
      <c r="GC19" s="84" t="e">
        <f>GC17+#REF!+GC18-0.01</f>
        <v>#REF!</v>
      </c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T19" s="92"/>
      <c r="GU19" s="92"/>
      <c r="GV19" s="92"/>
      <c r="GW19" s="92"/>
      <c r="GX19" s="105"/>
      <c r="GY19" s="107"/>
      <c r="GZ19" s="389">
        <v>71</v>
      </c>
      <c r="HA19" s="390">
        <v>6408</v>
      </c>
      <c r="HB19" s="107"/>
      <c r="HC19" s="107"/>
      <c r="HD19" s="126" t="s">
        <v>312</v>
      </c>
      <c r="HE19" s="88" t="e">
        <f>#REF!+HE18</f>
        <v>#REF!</v>
      </c>
      <c r="HF19" s="106" t="s">
        <v>306</v>
      </c>
      <c r="HG19" s="84" t="s">
        <v>309</v>
      </c>
      <c r="HH19" s="84" t="s">
        <v>310</v>
      </c>
      <c r="HI19" s="107"/>
      <c r="HJ19" s="107"/>
      <c r="HK19" s="107"/>
      <c r="HL19" s="107"/>
      <c r="HM19" s="107"/>
      <c r="HN19" s="107"/>
      <c r="HO19" s="107"/>
      <c r="HP19" s="107"/>
      <c r="HQ19" s="107"/>
      <c r="HR19" s="106"/>
      <c r="HS19" s="106">
        <f>HN19</f>
        <v>0</v>
      </c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  <c r="IU19" s="107"/>
      <c r="IV19" s="107"/>
      <c r="IW19" s="107"/>
      <c r="IX19" s="107"/>
      <c r="IY19" s="107"/>
      <c r="IZ19" s="107"/>
      <c r="JA19" s="107"/>
      <c r="JB19" s="8"/>
      <c r="JE19" s="103"/>
      <c r="JF19" s="74"/>
      <c r="JG19" s="74"/>
      <c r="JH19" s="74"/>
      <c r="JI19" s="74" t="s">
        <v>233</v>
      </c>
      <c r="JJ19" s="74" t="s">
        <v>234</v>
      </c>
      <c r="JY19" s="108" t="e">
        <f>JY18-#REF!</f>
        <v>#REF!</v>
      </c>
      <c r="JZ19" s="109" t="e">
        <f>JY19/#REF!</f>
        <v>#REF!</v>
      </c>
    </row>
    <row r="20" spans="1:288" ht="22.9" hidden="1" customHeight="1" x14ac:dyDescent="0.25">
      <c r="A20" s="79" t="s">
        <v>220</v>
      </c>
      <c r="B20" s="80" t="s">
        <v>235</v>
      </c>
      <c r="C20" s="80" t="s">
        <v>124</v>
      </c>
      <c r="D20" s="80">
        <f>28+6</f>
        <v>34</v>
      </c>
      <c r="E20" s="80">
        <f>28+6</f>
        <v>34</v>
      </c>
      <c r="F20" s="80">
        <f>28+6</f>
        <v>34</v>
      </c>
      <c r="G20" s="80">
        <f>28+6</f>
        <v>34</v>
      </c>
      <c r="H20" s="80">
        <f>28+6</f>
        <v>34</v>
      </c>
      <c r="I20" s="114"/>
      <c r="J20" s="114"/>
      <c r="K20" s="114"/>
      <c r="L20" s="115"/>
      <c r="M20" s="115"/>
      <c r="N20" s="115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07"/>
      <c r="CH20" s="107"/>
      <c r="CI20" s="107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16"/>
      <c r="DZ20" s="116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84"/>
      <c r="FM20" s="84" t="e">
        <f>FM19+FM18+#REF!</f>
        <v>#REF!</v>
      </c>
      <c r="FN20" s="188" t="s">
        <v>383</v>
      </c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16"/>
      <c r="GY20" s="107"/>
      <c r="GZ20" s="169" t="e">
        <f>#REF!+GZ19</f>
        <v>#REF!</v>
      </c>
      <c r="HA20" s="169" t="e">
        <f>#REF!+HA19</f>
        <v>#REF!</v>
      </c>
      <c r="HB20" s="107"/>
      <c r="HC20" s="107"/>
      <c r="HD20" s="107"/>
      <c r="HE20" s="107"/>
      <c r="HF20" s="106"/>
      <c r="HG20" s="106"/>
      <c r="HH20" s="106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  <c r="IW20" s="107"/>
      <c r="IX20" s="107"/>
      <c r="IY20" s="107"/>
      <c r="IZ20" s="107"/>
      <c r="JA20" s="107"/>
    </row>
    <row r="21" spans="1:288" ht="22.9" hidden="1" customHeight="1" x14ac:dyDescent="0.25">
      <c r="A21" s="79"/>
      <c r="B21" s="80" t="s">
        <v>236</v>
      </c>
      <c r="C21" s="80" t="s">
        <v>124</v>
      </c>
      <c r="D21" s="80"/>
      <c r="E21" s="80"/>
      <c r="F21" s="80"/>
      <c r="G21" s="80"/>
      <c r="H21" s="80"/>
      <c r="I21" s="114"/>
      <c r="J21" s="114"/>
      <c r="K21" s="114"/>
      <c r="L21" s="115"/>
      <c r="M21" s="115"/>
      <c r="N21" s="115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07"/>
      <c r="CH21" s="107"/>
      <c r="CI21" s="107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16"/>
      <c r="DZ21" s="116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16"/>
      <c r="GY21" s="107"/>
      <c r="GZ21" s="107"/>
      <c r="HA21" s="107"/>
      <c r="HB21" s="107"/>
      <c r="HC21" s="107"/>
      <c r="HD21" s="107"/>
      <c r="HE21" s="107"/>
      <c r="HF21" s="106"/>
      <c r="HG21" s="106"/>
      <c r="HH21" s="106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  <c r="IX21" s="107"/>
      <c r="IY21" s="107"/>
      <c r="IZ21" s="107"/>
      <c r="JA21" s="107"/>
    </row>
    <row r="22" spans="1:288" ht="18" hidden="1" customHeight="1" x14ac:dyDescent="0.25">
      <c r="A22" s="79"/>
      <c r="B22" s="80" t="s">
        <v>237</v>
      </c>
      <c r="C22" s="80" t="s">
        <v>124</v>
      </c>
      <c r="D22" s="80">
        <f>21+11</f>
        <v>32</v>
      </c>
      <c r="E22" s="80">
        <f t="shared" ref="E22:H23" si="61">21+11</f>
        <v>32</v>
      </c>
      <c r="F22" s="80">
        <f t="shared" si="61"/>
        <v>32</v>
      </c>
      <c r="G22" s="80">
        <f t="shared" si="61"/>
        <v>32</v>
      </c>
      <c r="H22" s="80">
        <f t="shared" si="61"/>
        <v>32</v>
      </c>
      <c r="I22" s="114"/>
      <c r="J22" s="114"/>
      <c r="K22" s="114"/>
      <c r="L22" s="115"/>
      <c r="M22" s="115"/>
      <c r="N22" s="115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07"/>
      <c r="CH22" s="107"/>
      <c r="CI22" s="107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16"/>
      <c r="DZ22" s="116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16"/>
      <c r="GY22" s="107"/>
      <c r="GZ22" s="107"/>
      <c r="HA22" s="107"/>
      <c r="HB22" s="107"/>
      <c r="HC22" s="107"/>
      <c r="HD22" s="107"/>
      <c r="HE22" s="107"/>
      <c r="HF22" s="106"/>
      <c r="HG22" s="106"/>
      <c r="HH22" s="106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  <c r="IR22" s="107"/>
      <c r="IS22" s="107"/>
      <c r="IT22" s="107"/>
      <c r="IU22" s="107"/>
      <c r="IV22" s="107"/>
      <c r="IW22" s="107"/>
      <c r="IX22" s="107"/>
      <c r="IY22" s="107"/>
      <c r="IZ22" s="107"/>
      <c r="JA22" s="107"/>
    </row>
    <row r="23" spans="1:288" ht="13.9" hidden="1" customHeight="1" x14ac:dyDescent="0.25">
      <c r="A23" s="80"/>
      <c r="B23" s="80" t="s">
        <v>238</v>
      </c>
      <c r="C23" s="80" t="s">
        <v>124</v>
      </c>
      <c r="D23" s="80">
        <f>21+11</f>
        <v>32</v>
      </c>
      <c r="E23" s="80">
        <f t="shared" si="61"/>
        <v>32</v>
      </c>
      <c r="F23" s="80">
        <f t="shared" si="61"/>
        <v>32</v>
      </c>
      <c r="G23" s="80">
        <f t="shared" si="61"/>
        <v>32</v>
      </c>
      <c r="H23" s="80">
        <f t="shared" si="61"/>
        <v>32</v>
      </c>
      <c r="I23" s="114"/>
      <c r="J23" s="114"/>
      <c r="K23" s="114"/>
      <c r="L23" s="115">
        <f>J23</f>
        <v>0</v>
      </c>
      <c r="M23" s="115"/>
      <c r="N23" s="115">
        <f>L23</f>
        <v>0</v>
      </c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07"/>
      <c r="CH23" s="107"/>
      <c r="CI23" s="107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16"/>
      <c r="DZ23" s="116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16"/>
      <c r="GY23" s="107"/>
      <c r="GZ23" s="107"/>
      <c r="HA23" s="107"/>
      <c r="HB23" s="107"/>
      <c r="HC23" s="107"/>
      <c r="HD23" s="107"/>
      <c r="HE23" s="107"/>
      <c r="HF23" s="106"/>
      <c r="HG23" s="106"/>
      <c r="HH23" s="106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  <c r="IX23" s="107"/>
      <c r="IY23" s="107"/>
      <c r="IZ23" s="107"/>
      <c r="JA23" s="107"/>
    </row>
    <row r="24" spans="1:288" ht="23.45" customHeight="1" x14ac:dyDescent="0.25">
      <c r="A24" s="268" t="s">
        <v>239</v>
      </c>
      <c r="B24" s="269"/>
      <c r="C24" s="270"/>
      <c r="D24" s="80"/>
      <c r="E24" s="80"/>
      <c r="F24" s="80"/>
      <c r="G24" s="80"/>
      <c r="H24" s="80"/>
      <c r="I24" s="114"/>
      <c r="J24" s="97">
        <f>J17+J19</f>
        <v>63905588.189187199</v>
      </c>
      <c r="K24" s="97"/>
      <c r="L24" s="97">
        <f>L17+L19</f>
        <v>56558460.001984</v>
      </c>
      <c r="M24" s="97"/>
      <c r="N24" s="97">
        <f>N17+N19</f>
        <v>56558460.001984</v>
      </c>
      <c r="O24" s="105"/>
      <c r="P24" s="105"/>
      <c r="Q24" s="105"/>
      <c r="R24" s="105"/>
      <c r="S24" s="105"/>
      <c r="T24" s="105"/>
      <c r="U24" s="105"/>
      <c r="V24" s="105"/>
      <c r="W24" s="92">
        <v>63755588.189999998</v>
      </c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92"/>
      <c r="CH24" s="92"/>
      <c r="CI24" s="92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 t="s">
        <v>362</v>
      </c>
      <c r="DQ24" s="92" t="e">
        <f>DQ19+DR17</f>
        <v>#REF!</v>
      </c>
      <c r="DR24" s="92"/>
      <c r="DS24" s="92"/>
      <c r="DT24" s="92"/>
      <c r="DU24" s="92"/>
      <c r="DV24" s="92"/>
      <c r="DW24" s="92"/>
      <c r="DX24" s="92"/>
      <c r="DY24" s="105"/>
      <c r="DZ24" s="105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 t="s">
        <v>405</v>
      </c>
      <c r="FP24" s="92" t="s">
        <v>406</v>
      </c>
      <c r="FQ24" s="92"/>
      <c r="FR24" s="92" t="s">
        <v>407</v>
      </c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105"/>
      <c r="GY24" s="107"/>
      <c r="GZ24" s="391" t="e">
        <f>#REF!+GZ19</f>
        <v>#REF!</v>
      </c>
      <c r="HA24" s="391" t="e">
        <f>#REF!+HA19</f>
        <v>#REF!</v>
      </c>
      <c r="HB24" s="107"/>
      <c r="HC24" s="107"/>
      <c r="HD24" s="72" t="s">
        <v>305</v>
      </c>
      <c r="HE24" s="72" t="e">
        <f>HD18-HE18</f>
        <v>#REF!</v>
      </c>
      <c r="HF24" s="106" t="s">
        <v>307</v>
      </c>
      <c r="HG24" s="182">
        <v>2088</v>
      </c>
      <c r="HH24" s="182">
        <v>2088</v>
      </c>
      <c r="HI24" s="392"/>
      <c r="HJ24" s="107"/>
      <c r="HK24" s="107"/>
      <c r="HL24" s="107"/>
      <c r="HM24" s="107"/>
      <c r="HN24" s="107"/>
      <c r="HO24" s="107"/>
      <c r="HP24" s="107"/>
      <c r="HQ24" s="107"/>
      <c r="HR24" s="106"/>
      <c r="HS24" s="106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  <c r="IX24" s="107"/>
      <c r="IY24" s="107"/>
      <c r="IZ24" s="107"/>
      <c r="JA24" s="107"/>
      <c r="JB24" s="8"/>
      <c r="JE24" s="88">
        <v>37024596.810000002</v>
      </c>
      <c r="JF24" s="89"/>
      <c r="JG24" s="88">
        <v>37571922.359999999</v>
      </c>
      <c r="JH24" s="89"/>
      <c r="JI24" s="88">
        <v>39305388.359999999</v>
      </c>
      <c r="JJ24" s="88">
        <v>37024600</v>
      </c>
      <c r="JK24" s="89"/>
      <c r="JL24" s="89"/>
      <c r="JM24" s="89"/>
      <c r="JN24" s="89"/>
      <c r="JO24" s="89"/>
    </row>
    <row r="25" spans="1:288" ht="14.45" customHeight="1" x14ac:dyDescent="0.25">
      <c r="J25" s="8"/>
      <c r="K25" s="8"/>
      <c r="CG25" s="103"/>
      <c r="CH25" s="108"/>
      <c r="CI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79" t="e">
        <f>DQ18+#REF!+DW17</f>
        <v>#REF!</v>
      </c>
      <c r="DR25" s="109"/>
      <c r="DS25" s="109"/>
      <c r="DT25" s="109"/>
      <c r="DU25" s="109"/>
      <c r="DV25" s="109"/>
      <c r="DW25" s="109"/>
      <c r="DX25" s="109"/>
      <c r="EA25" s="109"/>
      <c r="EB25" s="109"/>
      <c r="EC25" s="109"/>
      <c r="ED25" s="17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8">
        <v>45830885.5</v>
      </c>
      <c r="FP25" s="108">
        <v>40412500</v>
      </c>
      <c r="FQ25" s="108">
        <f>FO25-FP25</f>
        <v>5418385.5</v>
      </c>
      <c r="FR25" s="74">
        <v>104880</v>
      </c>
      <c r="FS25" s="109">
        <f>FQ25/FR25</f>
        <v>51.662714530892451</v>
      </c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HB25" s="109"/>
      <c r="HD25" s="117"/>
      <c r="HE25" s="117"/>
      <c r="HF25" s="83" t="s">
        <v>308</v>
      </c>
      <c r="HG25" s="393">
        <v>4320</v>
      </c>
      <c r="HH25" s="393">
        <v>3384</v>
      </c>
      <c r="HI25" s="168"/>
      <c r="HJ25" s="117"/>
      <c r="HK25" s="117"/>
      <c r="HL25" s="117"/>
      <c r="HM25" s="117"/>
      <c r="HN25" s="117"/>
      <c r="HO25" s="117"/>
      <c r="HP25" s="117"/>
      <c r="HQ25" s="117"/>
      <c r="HR25" s="117" t="s">
        <v>205</v>
      </c>
      <c r="HS25" s="117" t="s">
        <v>206</v>
      </c>
      <c r="HT25" s="117" t="s">
        <v>207</v>
      </c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  <c r="IX25" s="117"/>
      <c r="IY25" s="117"/>
      <c r="IZ25" s="117"/>
      <c r="JA25" s="87"/>
      <c r="JH25" s="118" t="s">
        <v>228</v>
      </c>
      <c r="JI25" s="89">
        <v>8889750.3599999994</v>
      </c>
      <c r="JJ25" s="89">
        <v>0</v>
      </c>
    </row>
    <row r="26" spans="1:288" ht="12" customHeight="1" x14ac:dyDescent="0.25">
      <c r="D26" s="11"/>
      <c r="G26" s="11"/>
      <c r="H26" s="11"/>
      <c r="J26" s="8"/>
      <c r="K26" s="8"/>
      <c r="BS26" s="109"/>
      <c r="BT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FO26" s="108"/>
      <c r="HB26" s="109"/>
      <c r="HC26" s="109"/>
      <c r="HD26" s="92">
        <v>10745500</v>
      </c>
      <c r="HE26" s="68"/>
      <c r="HF26" s="153"/>
      <c r="HG26" s="394">
        <f>SUM(HG24:HG25)</f>
        <v>6408</v>
      </c>
      <c r="HH26" s="394">
        <f>SUM(HH24:HH25)</f>
        <v>5472</v>
      </c>
      <c r="HI26" s="121"/>
      <c r="HJ26" s="121"/>
      <c r="HK26" s="121"/>
      <c r="HL26" s="121"/>
      <c r="HM26" s="121"/>
      <c r="HN26" s="121"/>
      <c r="HO26" s="121"/>
      <c r="HP26" s="121"/>
      <c r="HQ26" s="121"/>
      <c r="HR26" s="120" t="s">
        <v>242</v>
      </c>
      <c r="HS26" s="120" t="s">
        <v>242</v>
      </c>
      <c r="HT26" s="120" t="s">
        <v>242</v>
      </c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  <c r="JH26" s="118" t="s">
        <v>243</v>
      </c>
      <c r="JI26" s="89">
        <v>4943157.2</v>
      </c>
      <c r="JJ26" s="89">
        <v>4943157.2</v>
      </c>
    </row>
    <row r="27" spans="1:288" ht="16.149999999999999" customHeight="1" x14ac:dyDescent="0.25">
      <c r="J27" s="8"/>
      <c r="K27" s="8"/>
      <c r="AA27" s="108"/>
      <c r="AB27" s="108"/>
      <c r="AC27" s="108"/>
      <c r="BS27" s="109"/>
      <c r="BT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FO27" s="108"/>
      <c r="GZ27" s="109"/>
      <c r="HA27" s="109"/>
      <c r="HB27" s="109"/>
      <c r="HC27" s="109"/>
      <c r="HD27" s="92">
        <v>4334708.4000000004</v>
      </c>
      <c r="HE27" s="92"/>
      <c r="HF27" s="92"/>
      <c r="HG27" s="170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2">
        <v>31653700</v>
      </c>
      <c r="HS27" s="122">
        <v>31632000</v>
      </c>
      <c r="HT27" s="122">
        <v>31632000</v>
      </c>
      <c r="HU27" s="123" t="s">
        <v>244</v>
      </c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  <c r="IX27" s="124"/>
      <c r="IY27" s="124"/>
      <c r="IZ27" s="124"/>
      <c r="JH27" s="118" t="s">
        <v>245</v>
      </c>
      <c r="JI27" s="117">
        <f>JI24-JI25-JI26</f>
        <v>25472480.800000001</v>
      </c>
      <c r="JJ27" s="117">
        <f>JJ24-JJ25-JJ26</f>
        <v>32081442.800000001</v>
      </c>
      <c r="JK27" s="108">
        <f>JJ27-JI27</f>
        <v>6608962</v>
      </c>
      <c r="JL27" s="108"/>
      <c r="JM27" s="108"/>
      <c r="JN27" s="108"/>
    </row>
    <row r="28" spans="1:288" x14ac:dyDescent="0.25">
      <c r="A28" s="1" t="s">
        <v>247</v>
      </c>
      <c r="J28" s="108"/>
      <c r="K28" s="108"/>
      <c r="AA28" s="179"/>
      <c r="AB28" s="108"/>
      <c r="AC28" s="108"/>
      <c r="BS28" s="206"/>
      <c r="BT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GZ28" s="109"/>
      <c r="HA28" s="109"/>
      <c r="HB28" s="109"/>
      <c r="HC28" s="109"/>
      <c r="HD28" s="117">
        <f>SUM(HD26:HD27)</f>
        <v>15080208.4</v>
      </c>
      <c r="HE28" s="103" t="e">
        <f>HD28/#REF!</f>
        <v>#REF!</v>
      </c>
      <c r="HF28" s="103" t="s">
        <v>311</v>
      </c>
      <c r="HG28" s="102"/>
      <c r="HH28" s="102"/>
      <c r="HI28" s="102"/>
      <c r="HJ28" s="102"/>
      <c r="HK28" s="102"/>
      <c r="HL28" s="102"/>
      <c r="HM28" s="102"/>
      <c r="HN28" s="102"/>
      <c r="HO28" s="102"/>
      <c r="HP28" s="102"/>
      <c r="HQ28" s="102"/>
      <c r="HR28" s="89"/>
      <c r="HS28" s="89"/>
      <c r="HT28" s="102"/>
      <c r="HU28" s="102"/>
      <c r="HV28" s="102"/>
      <c r="HW28" s="102"/>
      <c r="HX28" s="102"/>
      <c r="HY28" s="102"/>
      <c r="HZ28" s="102"/>
      <c r="IA28" s="102"/>
      <c r="IB28" s="102"/>
      <c r="IC28" s="102"/>
      <c r="ID28" s="102"/>
      <c r="IE28" s="102"/>
      <c r="IF28" s="102"/>
      <c r="IG28" s="102"/>
      <c r="IH28" s="102"/>
      <c r="II28" s="102"/>
      <c r="IJ28" s="102"/>
      <c r="IK28" s="102"/>
      <c r="IL28" s="102"/>
      <c r="IM28" s="102"/>
      <c r="IN28" s="102"/>
      <c r="IO28" s="102"/>
      <c r="IP28" s="102"/>
      <c r="IQ28" s="102"/>
      <c r="IR28" s="102"/>
      <c r="IS28" s="102"/>
      <c r="IT28" s="102"/>
      <c r="IU28" s="102"/>
      <c r="IV28" s="102"/>
      <c r="IW28" s="102"/>
      <c r="IX28" s="102"/>
      <c r="IY28" s="102"/>
      <c r="IZ28" s="102"/>
      <c r="JB28" s="8"/>
      <c r="JI28" s="109"/>
      <c r="JJ28" s="108"/>
      <c r="JK28" s="125">
        <f>JK27/6</f>
        <v>1101493.6666666667</v>
      </c>
      <c r="JL28" s="125"/>
      <c r="JM28" s="125"/>
      <c r="JN28" s="125"/>
    </row>
    <row r="29" spans="1:288" ht="16.149999999999999" customHeight="1" x14ac:dyDescent="0.25">
      <c r="A29" s="1" t="s">
        <v>77</v>
      </c>
      <c r="J29" s="8"/>
      <c r="K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108"/>
      <c r="AB29" s="108"/>
      <c r="AC29" s="10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4" t="e">
        <f>#REF!</f>
        <v>#REF!</v>
      </c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180"/>
      <c r="BT29" s="10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Z29" s="109"/>
      <c r="HA29" s="109"/>
      <c r="HB29" s="109"/>
      <c r="HC29" s="109"/>
      <c r="HD29" s="103"/>
      <c r="HE29" s="103"/>
      <c r="HF29" s="103"/>
      <c r="HG29" s="102"/>
      <c r="HH29" s="102"/>
      <c r="HI29" s="102"/>
      <c r="HJ29" s="102"/>
      <c r="HK29" s="102"/>
      <c r="HL29" s="102"/>
      <c r="HM29" s="102"/>
      <c r="HN29" s="102"/>
      <c r="HO29" s="102"/>
      <c r="HP29" s="102"/>
      <c r="HQ29" s="102"/>
      <c r="HR29" s="108">
        <f>HO29-HN29</f>
        <v>0</v>
      </c>
      <c r="HS29" s="103">
        <f>HR29/6</f>
        <v>0</v>
      </c>
      <c r="HT29" s="103">
        <v>10487860.560000001</v>
      </c>
      <c r="HU29" s="103">
        <f>(HO29-HT29)/6</f>
        <v>-1747976.76</v>
      </c>
      <c r="HV29" s="102"/>
      <c r="HW29" s="102"/>
      <c r="HX29" s="102"/>
      <c r="HY29" s="102"/>
      <c r="HZ29" s="102"/>
      <c r="IA29" s="102"/>
      <c r="IB29" s="102"/>
      <c r="IC29" s="102"/>
      <c r="ID29" s="102"/>
      <c r="IE29" s="102"/>
      <c r="IF29" s="102"/>
      <c r="IG29" s="102"/>
      <c r="IH29" s="102"/>
      <c r="II29" s="102"/>
      <c r="IJ29" s="102"/>
      <c r="IK29" s="102"/>
      <c r="IL29" s="102"/>
      <c r="IM29" s="102"/>
      <c r="IN29" s="102"/>
      <c r="IO29" s="102"/>
      <c r="IP29" s="102"/>
      <c r="IQ29" s="102"/>
      <c r="IR29" s="102"/>
      <c r="IS29" s="102"/>
      <c r="IT29" s="102"/>
      <c r="IU29" s="102"/>
      <c r="IV29" s="102"/>
      <c r="IW29" s="102"/>
      <c r="IX29" s="102"/>
      <c r="IY29" s="102"/>
      <c r="IZ29" s="102"/>
      <c r="JA29" s="8"/>
      <c r="JB29" s="8"/>
      <c r="JI29" s="74" t="s">
        <v>233</v>
      </c>
    </row>
    <row r="30" spans="1:288" ht="14.45" customHeight="1" x14ac:dyDescent="0.25"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08"/>
      <c r="AB30" s="180"/>
      <c r="AC30" s="10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4">
        <f>AU18</f>
        <v>767455.34</v>
      </c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Z30" s="109"/>
      <c r="HA30" s="109"/>
      <c r="HB30" s="109"/>
      <c r="HC30" s="109">
        <v>14349678.640000001</v>
      </c>
      <c r="HD30" s="103" t="e">
        <f>#REF!</f>
        <v>#REF!</v>
      </c>
      <c r="HE30" s="103"/>
      <c r="HF30" s="103"/>
      <c r="HG30" s="102"/>
      <c r="HH30" s="102"/>
      <c r="HI30" s="102"/>
      <c r="HJ30" s="102"/>
      <c r="HK30" s="102"/>
      <c r="HL30" s="102"/>
      <c r="HM30" s="102"/>
      <c r="HN30" s="102"/>
      <c r="HO30" s="102"/>
      <c r="HP30" s="102"/>
      <c r="HQ30" s="102"/>
      <c r="HR30" s="109"/>
      <c r="HS30" s="102"/>
      <c r="HT30" s="127">
        <v>10488531.6</v>
      </c>
      <c r="HU30" s="127">
        <f>(HO29-HT30)/6</f>
        <v>-1748088.5999999999</v>
      </c>
      <c r="HV30" s="102"/>
      <c r="HW30" s="102"/>
      <c r="HX30" s="102"/>
      <c r="HY30" s="102"/>
      <c r="HZ30" s="102"/>
      <c r="IA30" s="102"/>
      <c r="IB30" s="102"/>
      <c r="IC30" s="102"/>
      <c r="ID30" s="102"/>
      <c r="IE30" s="102"/>
      <c r="IF30" s="102"/>
      <c r="IG30" s="102"/>
      <c r="IH30" s="102"/>
      <c r="II30" s="102"/>
      <c r="IJ30" s="102"/>
      <c r="IK30" s="102"/>
      <c r="IL30" s="102"/>
      <c r="IM30" s="102"/>
      <c r="IN30" s="102"/>
      <c r="IO30" s="102"/>
      <c r="IP30" s="102"/>
      <c r="IQ30" s="102"/>
      <c r="IR30" s="102"/>
      <c r="IS30" s="102"/>
      <c r="IT30" s="102"/>
      <c r="IU30" s="102"/>
      <c r="IV30" s="102"/>
      <c r="IW30" s="102"/>
      <c r="IX30" s="102"/>
      <c r="IY30" s="102"/>
      <c r="IZ30" s="102"/>
      <c r="JA30" s="8"/>
      <c r="JI30" s="101" t="s">
        <v>250</v>
      </c>
    </row>
    <row r="31" spans="1:288" hidden="1" x14ac:dyDescent="0.25">
      <c r="J31" s="8"/>
      <c r="K31" s="8"/>
      <c r="L31" s="8">
        <f>35157010-1681098</f>
        <v>33475912</v>
      </c>
      <c r="M31" s="8"/>
      <c r="N31" s="8">
        <f>38356010-1834064</f>
        <v>36521946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Z31" s="109"/>
      <c r="HA31" s="109"/>
      <c r="HB31" s="109"/>
      <c r="HC31" s="108">
        <f>HD28-HC30</f>
        <v>730529.75999999978</v>
      </c>
      <c r="HD31" s="117" t="e">
        <f>HD28-HD30</f>
        <v>#REF!</v>
      </c>
      <c r="HE31" s="168" t="e">
        <f>HD31/HG26</f>
        <v>#REF!</v>
      </c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08"/>
      <c r="HS31" s="117" t="s">
        <v>205</v>
      </c>
      <c r="HT31" s="117" t="s">
        <v>206</v>
      </c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17"/>
      <c r="IV31" s="117"/>
      <c r="IW31" s="117"/>
      <c r="IX31" s="117"/>
      <c r="IY31" s="117"/>
      <c r="IZ31" s="117"/>
      <c r="JA31" s="8"/>
      <c r="JI31" s="88">
        <v>39373588.359999999</v>
      </c>
    </row>
    <row r="32" spans="1:288" ht="16.899999999999999" hidden="1" customHeight="1" x14ac:dyDescent="0.25">
      <c r="J32" s="8"/>
      <c r="K32" s="8"/>
      <c r="M32" s="108"/>
      <c r="N32" s="108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GZ32" s="109"/>
      <c r="HA32" s="109"/>
      <c r="HB32" s="109"/>
      <c r="HC32" s="109" t="e">
        <f>HC31/#REF!</f>
        <v>#REF!</v>
      </c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129" t="s">
        <v>251</v>
      </c>
      <c r="HS32" s="130" t="s">
        <v>252</v>
      </c>
      <c r="HT32" s="130" t="s">
        <v>252</v>
      </c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109"/>
      <c r="JH32" s="118" t="s">
        <v>245</v>
      </c>
      <c r="JI32" s="117">
        <f>JI31-JI25-JI26</f>
        <v>25540680.800000001</v>
      </c>
    </row>
    <row r="33" spans="10:269" ht="22.5" hidden="1" x14ac:dyDescent="0.25">
      <c r="J33" s="8"/>
      <c r="K33" s="8"/>
      <c r="L33" s="8" t="e">
        <f>L31-#REF!</f>
        <v>#REF!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Z33" s="109"/>
      <c r="HA33" s="109"/>
      <c r="HB33" s="109"/>
      <c r="HC33" s="109"/>
      <c r="HD33" s="92"/>
      <c r="HE33" s="92"/>
      <c r="HF33" s="92"/>
      <c r="HG33" s="132"/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1" t="s">
        <v>253</v>
      </c>
      <c r="HS33" s="97">
        <v>40655653.119999997</v>
      </c>
      <c r="HT33" s="97">
        <v>40655653.119999997</v>
      </c>
      <c r="HU33" s="132"/>
      <c r="HV33" s="132"/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2"/>
      <c r="IK33" s="132"/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2"/>
      <c r="IZ33" s="132"/>
      <c r="JA33" s="8"/>
      <c r="JI33" s="101" t="s">
        <v>254</v>
      </c>
    </row>
    <row r="34" spans="10:269" x14ac:dyDescent="0.25"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16"/>
      <c r="AB34" s="180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4" t="e">
        <f>BH17+BH29+BH30</f>
        <v>#REF!</v>
      </c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Z34" s="109"/>
      <c r="HA34" s="109"/>
      <c r="HB34" s="109"/>
      <c r="HC34" s="109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33" t="s">
        <v>255</v>
      </c>
      <c r="HS34" s="134">
        <v>29475253.120000001</v>
      </c>
      <c r="HT34" s="134">
        <v>29475253.120000001</v>
      </c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8"/>
      <c r="JI34" s="88">
        <v>39423588.359999999</v>
      </c>
    </row>
    <row r="35" spans="10:269" x14ac:dyDescent="0.25"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Z35" s="109"/>
      <c r="HA35" s="109"/>
      <c r="HB35" s="109"/>
      <c r="HC35" s="109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33" t="s">
        <v>256</v>
      </c>
      <c r="HS35" s="134">
        <v>4916897.38</v>
      </c>
      <c r="HT35" s="134">
        <v>4916897.38</v>
      </c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8"/>
      <c r="JH35" s="118" t="s">
        <v>245</v>
      </c>
      <c r="JI35" s="117">
        <f>JI34-JI25-JI26</f>
        <v>25590680.800000001</v>
      </c>
    </row>
    <row r="36" spans="10:269" x14ac:dyDescent="0.25"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Z36" s="109"/>
      <c r="HA36" s="109"/>
      <c r="HB36" s="109"/>
      <c r="HC36" s="109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35" t="s">
        <v>258</v>
      </c>
      <c r="HS36" s="136">
        <f>HS34-HS35</f>
        <v>24558355.740000002</v>
      </c>
      <c r="HT36" s="136">
        <f>HT34-HT35</f>
        <v>24558355.740000002</v>
      </c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/>
      <c r="IP36" s="117"/>
      <c r="IQ36" s="117"/>
      <c r="IR36" s="117"/>
      <c r="IS36" s="117"/>
      <c r="IT36" s="117"/>
      <c r="IU36" s="117"/>
      <c r="IV36" s="117"/>
      <c r="IW36" s="117"/>
      <c r="IX36" s="117"/>
      <c r="IY36" s="117"/>
      <c r="IZ36" s="117"/>
      <c r="JA36" s="8"/>
    </row>
    <row r="37" spans="10:269" x14ac:dyDescent="0.25"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Z37" s="109"/>
      <c r="HA37" s="109"/>
      <c r="HB37" s="109"/>
      <c r="HC37" s="109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35" t="s">
        <v>260</v>
      </c>
      <c r="HS37" s="134">
        <v>11180400</v>
      </c>
      <c r="HT37" s="134">
        <v>11180400</v>
      </c>
      <c r="HU37" s="103" t="e">
        <f>HS37-#REF!</f>
        <v>#REF!</v>
      </c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8"/>
    </row>
    <row r="38" spans="10:269" x14ac:dyDescent="0.25"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Z38" s="109"/>
      <c r="HA38" s="109"/>
      <c r="HB38" s="109"/>
      <c r="HC38" s="109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8"/>
      <c r="HS38" s="103">
        <f>HS37+HS34</f>
        <v>40655653.120000005</v>
      </c>
      <c r="HT38" s="103">
        <f>HT37+HT34</f>
        <v>40655653.120000005</v>
      </c>
      <c r="HU38" s="103" t="e">
        <f>HU37/6</f>
        <v>#REF!</v>
      </c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8"/>
    </row>
    <row r="39" spans="10:269" x14ac:dyDescent="0.25"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Z39" s="109"/>
      <c r="HA39" s="109"/>
      <c r="HB39" s="109"/>
      <c r="HC39" s="109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8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8"/>
    </row>
    <row r="40" spans="10:269" x14ac:dyDescent="0.25"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Z40" s="109"/>
      <c r="HA40" s="109"/>
      <c r="HB40" s="109"/>
      <c r="HC40" s="109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8"/>
      <c r="HS40" s="108">
        <f>HS36-HS27</f>
        <v>-7073644.2599999979</v>
      </c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  <c r="IW40" s="108"/>
      <c r="IX40" s="108"/>
      <c r="IY40" s="108"/>
      <c r="IZ40" s="108"/>
      <c r="JA40" s="8"/>
    </row>
    <row r="41" spans="10:269" x14ac:dyDescent="0.25"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Z41" s="109"/>
      <c r="HA41" s="109"/>
      <c r="HB41" s="109"/>
      <c r="HC41" s="109"/>
      <c r="HD41" s="108"/>
      <c r="HE41" s="108"/>
      <c r="HF41" s="10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137" t="s">
        <v>262</v>
      </c>
      <c r="HS41" s="108">
        <f>HS40/6</f>
        <v>-1178940.7099999997</v>
      </c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</row>
    <row r="42" spans="10:269" x14ac:dyDescent="0.25"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Z42" s="109"/>
      <c r="HA42" s="109"/>
      <c r="HB42" s="109"/>
      <c r="HC42" s="109"/>
      <c r="HD42" s="108"/>
      <c r="HE42" s="108"/>
      <c r="HF42" s="10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395">
        <v>1906883.33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</row>
    <row r="43" spans="10:269" x14ac:dyDescent="0.25"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108"/>
      <c r="GV43" s="108"/>
      <c r="GW43" s="10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</row>
    <row r="44" spans="10:269" x14ac:dyDescent="0.25"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108"/>
      <c r="GV44" s="108"/>
      <c r="GW44" s="10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</row>
    <row r="45" spans="10:269" x14ac:dyDescent="0.25"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74"/>
      <c r="GV45" s="119" t="s">
        <v>240</v>
      </c>
      <c r="GW45" s="119" t="s">
        <v>241</v>
      </c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</row>
    <row r="46" spans="10:269" x14ac:dyDescent="0.25"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</row>
    <row r="47" spans="10:269" x14ac:dyDescent="0.25"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108"/>
      <c r="DA47" s="108"/>
      <c r="DB47" s="108"/>
      <c r="DC47" s="108"/>
      <c r="DD47" s="108"/>
      <c r="DE47" s="108"/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9" t="s">
        <v>246</v>
      </c>
      <c r="GV47" s="88">
        <v>42399200</v>
      </c>
      <c r="GW47" s="88">
        <f>GW48+GW49+GW50</f>
        <v>42119200</v>
      </c>
      <c r="GX47" s="89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</row>
    <row r="48" spans="10:269" ht="23.25" x14ac:dyDescent="0.25"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118" t="s">
        <v>228</v>
      </c>
      <c r="GV48" s="89">
        <v>10745500</v>
      </c>
      <c r="GW48" s="89">
        <v>10487200</v>
      </c>
      <c r="GX48" s="126" t="s">
        <v>248</v>
      </c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</row>
    <row r="49" spans="10:261" ht="33.75" x14ac:dyDescent="0.25"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118" t="s">
        <v>249</v>
      </c>
      <c r="GV49" s="89">
        <v>8330911.2800000003</v>
      </c>
      <c r="GW49" s="89">
        <v>8330911.2800000003</v>
      </c>
      <c r="GY49" s="8"/>
      <c r="GZ49" s="117" t="s">
        <v>205</v>
      </c>
      <c r="HA49" s="117" t="s">
        <v>206</v>
      </c>
      <c r="HB49" s="117" t="s">
        <v>207</v>
      </c>
      <c r="HC49" s="117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</row>
    <row r="50" spans="10:261" ht="63" x14ac:dyDescent="0.25"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118" t="s">
        <v>245</v>
      </c>
      <c r="GV50" s="117">
        <f>GV47-GV48-GV49</f>
        <v>23322788.719999999</v>
      </c>
      <c r="GW50" s="117">
        <f>GU58</f>
        <v>23301088.719999999</v>
      </c>
      <c r="GX50" s="108">
        <f>GW50-GV50</f>
        <v>-21700</v>
      </c>
      <c r="GY50" s="8"/>
      <c r="GZ50" s="120" t="s">
        <v>242</v>
      </c>
      <c r="HA50" s="120" t="s">
        <v>242</v>
      </c>
      <c r="HB50" s="120" t="s">
        <v>242</v>
      </c>
      <c r="HC50" s="121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</row>
    <row r="51" spans="10:261" x14ac:dyDescent="0.25">
      <c r="J51" s="8"/>
      <c r="K51" s="8"/>
      <c r="GV51" s="109"/>
      <c r="GW51" s="128">
        <f>GX50/6</f>
        <v>-3616.6666666666665</v>
      </c>
      <c r="GX51" s="128">
        <f>GX50/6</f>
        <v>-3616.6666666666665</v>
      </c>
      <c r="GZ51" s="122">
        <v>31653700</v>
      </c>
      <c r="HA51" s="122">
        <v>31632000</v>
      </c>
      <c r="HB51" s="122">
        <v>31632000</v>
      </c>
      <c r="HC51" s="123" t="s">
        <v>244</v>
      </c>
    </row>
    <row r="52" spans="10:261" x14ac:dyDescent="0.25"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V52" s="108">
        <f>GV48-10199150</f>
        <v>546350</v>
      </c>
      <c r="GW52" s="103">
        <f>GW50-GW17</f>
        <v>23301088.719999999</v>
      </c>
      <c r="GX52" s="125"/>
      <c r="GY52" s="8"/>
      <c r="GZ52" s="89"/>
      <c r="HA52" s="89"/>
      <c r="HB52" s="102"/>
      <c r="HC52" s="102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</row>
    <row r="53" spans="10:261" x14ac:dyDescent="0.25"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V53" s="109" t="e">
        <f>GV52/#REF!</f>
        <v>#REF!</v>
      </c>
      <c r="GW53" s="103">
        <f>12.24/6</f>
        <v>2.04</v>
      </c>
      <c r="GY53" s="8"/>
      <c r="GZ53" s="108">
        <f>GW48-GV48</f>
        <v>-258300</v>
      </c>
      <c r="HA53" s="103">
        <f>GZ53/6</f>
        <v>-43050</v>
      </c>
      <c r="HB53" s="103">
        <v>10487860.560000001</v>
      </c>
      <c r="HC53" s="103">
        <f>(GW48-HB53)/6</f>
        <v>-110.09333333342026</v>
      </c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</row>
    <row r="54" spans="10:261" x14ac:dyDescent="0.25">
      <c r="J54" s="8"/>
      <c r="K54" s="8"/>
      <c r="L54" s="8"/>
      <c r="M54" s="8"/>
      <c r="GW54" s="8"/>
      <c r="GZ54" s="109"/>
      <c r="HA54" s="102"/>
      <c r="HB54" s="127">
        <v>10488531.6</v>
      </c>
      <c r="HC54" s="127">
        <f>(GW48-HB54)/6</f>
        <v>-221.93333333327124</v>
      </c>
    </row>
    <row r="55" spans="10:261" x14ac:dyDescent="0.25">
      <c r="J55" s="8"/>
      <c r="K55" s="8"/>
      <c r="L55" s="8"/>
      <c r="M55" s="8"/>
      <c r="GU55" s="179" t="s">
        <v>257</v>
      </c>
      <c r="GV55" s="179" t="s">
        <v>248</v>
      </c>
      <c r="GW55" s="179"/>
      <c r="GX55" s="8"/>
      <c r="GZ55" s="108"/>
      <c r="HA55" s="117" t="s">
        <v>205</v>
      </c>
      <c r="HB55" s="117" t="s">
        <v>206</v>
      </c>
      <c r="HC55" s="117"/>
    </row>
    <row r="56" spans="10:261" ht="63.75" x14ac:dyDescent="0.25">
      <c r="J56" s="8"/>
      <c r="K56" s="8"/>
      <c r="L56" s="8"/>
      <c r="M56" s="8"/>
      <c r="GU56" s="108">
        <v>31632000</v>
      </c>
      <c r="GV56" s="108" t="s">
        <v>259</v>
      </c>
      <c r="GW56" s="8"/>
      <c r="GX56" s="8"/>
      <c r="GZ56" s="129" t="s">
        <v>251</v>
      </c>
      <c r="HA56" s="130" t="s">
        <v>252</v>
      </c>
      <c r="HB56" s="130" t="s">
        <v>252</v>
      </c>
      <c r="HC56" s="68"/>
    </row>
    <row r="57" spans="10:261" x14ac:dyDescent="0.25">
      <c r="J57" s="8"/>
      <c r="K57" s="8"/>
      <c r="L57" s="8"/>
      <c r="M57" s="8"/>
      <c r="GU57" s="108">
        <f>GW49</f>
        <v>8330911.2800000003</v>
      </c>
      <c r="GV57" s="108" t="s">
        <v>249</v>
      </c>
      <c r="GW57" s="108"/>
      <c r="GX57" s="108"/>
      <c r="GZ57" s="131" t="s">
        <v>253</v>
      </c>
      <c r="HA57" s="97">
        <v>40655653.119999997</v>
      </c>
      <c r="HB57" s="97">
        <v>40655653.119999997</v>
      </c>
      <c r="HC57" s="132"/>
    </row>
    <row r="58" spans="10:261" x14ac:dyDescent="0.25">
      <c r="J58" s="8"/>
      <c r="K58" s="8"/>
      <c r="L58" s="8"/>
      <c r="M58" s="8"/>
      <c r="GU58" s="179">
        <f>GU56-GU57</f>
        <v>23301088.719999999</v>
      </c>
      <c r="GV58" s="108" t="s">
        <v>261</v>
      </c>
      <c r="GW58" s="108"/>
      <c r="GX58" s="108"/>
      <c r="GZ58" s="133" t="s">
        <v>255</v>
      </c>
      <c r="HA58" s="134">
        <v>29475253.120000001</v>
      </c>
      <c r="HB58" s="134">
        <v>29475253.120000001</v>
      </c>
      <c r="HC58" s="103"/>
    </row>
    <row r="59" spans="10:261" x14ac:dyDescent="0.25">
      <c r="J59" s="8"/>
      <c r="K59" s="8"/>
      <c r="L59" s="8"/>
      <c r="M59" s="8"/>
      <c r="GU59" s="108"/>
      <c r="GV59" s="108"/>
      <c r="GW59" s="108"/>
      <c r="GX59" s="108"/>
      <c r="GZ59" s="133" t="s">
        <v>256</v>
      </c>
      <c r="HA59" s="134">
        <v>4916897.38</v>
      </c>
      <c r="HB59" s="134">
        <v>4916897.38</v>
      </c>
      <c r="HC59" s="103"/>
    </row>
    <row r="60" spans="10:261" x14ac:dyDescent="0.25">
      <c r="J60" s="8"/>
      <c r="K60" s="8"/>
      <c r="L60" s="8"/>
      <c r="M60" s="8"/>
      <c r="GU60" s="108">
        <f>GV50-GW50</f>
        <v>21700</v>
      </c>
      <c r="GV60" s="108"/>
      <c r="GW60" s="108"/>
      <c r="GX60" s="108"/>
      <c r="GZ60" s="135" t="s">
        <v>258</v>
      </c>
      <c r="HA60" s="136">
        <f>HA58-HA59</f>
        <v>24558355.740000002</v>
      </c>
      <c r="HB60" s="136">
        <f>HB58-HB59</f>
        <v>24558355.740000002</v>
      </c>
      <c r="HC60" s="117"/>
    </row>
    <row r="61" spans="10:261" x14ac:dyDescent="0.25">
      <c r="J61" s="8"/>
      <c r="K61" s="8"/>
      <c r="GU61" s="125" t="e">
        <f>GU60/GT17</f>
        <v>#REF!</v>
      </c>
      <c r="GV61" s="108" t="s">
        <v>263</v>
      </c>
      <c r="GW61" s="108"/>
      <c r="GX61" s="108"/>
      <c r="GZ61" s="135" t="s">
        <v>260</v>
      </c>
      <c r="HA61" s="134">
        <v>11180400</v>
      </c>
      <c r="HB61" s="134">
        <v>11180400</v>
      </c>
      <c r="HC61" s="103" t="e">
        <f>HA61-#REF!</f>
        <v>#REF!</v>
      </c>
    </row>
    <row r="62" spans="10:261" x14ac:dyDescent="0.25">
      <c r="GZ62" s="8"/>
      <c r="HA62" s="103">
        <f>HA61+HA58</f>
        <v>40655653.120000005</v>
      </c>
      <c r="HB62" s="103">
        <f>HB61+HB58</f>
        <v>40655653.120000005</v>
      </c>
      <c r="HC62" s="103" t="e">
        <f>HC61/6</f>
        <v>#REF!</v>
      </c>
    </row>
    <row r="63" spans="10:261" x14ac:dyDescent="0.25">
      <c r="GZ63" s="8"/>
      <c r="HA63" s="103"/>
      <c r="HB63" s="103"/>
      <c r="HC63" s="103"/>
    </row>
    <row r="64" spans="10:261" x14ac:dyDescent="0.25">
      <c r="GZ64" s="8"/>
      <c r="HA64" s="108">
        <f>HA60-HA51</f>
        <v>-7073644.2599999979</v>
      </c>
      <c r="HB64" s="108"/>
      <c r="HC64" s="108"/>
    </row>
    <row r="65" spans="208:211" x14ac:dyDescent="0.25">
      <c r="GZ65" s="137" t="s">
        <v>262</v>
      </c>
      <c r="HA65" s="108">
        <f>HA64/6</f>
        <v>-1178940.7099999997</v>
      </c>
      <c r="HB65" s="8"/>
      <c r="HC65" s="8"/>
    </row>
    <row r="66" spans="208:211" x14ac:dyDescent="0.25">
      <c r="GZ66" s="8"/>
      <c r="HA66" s="395">
        <v>1906883.33</v>
      </c>
      <c r="HB66" s="8"/>
      <c r="HC66" s="8"/>
    </row>
  </sheetData>
  <mergeCells count="104">
    <mergeCell ref="JM7:JM8"/>
    <mergeCell ref="IQ16:IQ17"/>
    <mergeCell ref="IR16:IR17"/>
    <mergeCell ref="IX16:IX17"/>
    <mergeCell ref="IY16:IY17"/>
    <mergeCell ref="JG7:JG8"/>
    <mergeCell ref="JH7:JH8"/>
    <mergeCell ref="JI7:JI8"/>
    <mergeCell ref="JJ7:JJ8"/>
    <mergeCell ref="JK7:JK8"/>
    <mergeCell ref="JL7:JL8"/>
    <mergeCell ref="IU7:IU8"/>
    <mergeCell ref="JE7:JE8"/>
    <mergeCell ref="JF7:JF8"/>
    <mergeCell ref="A24:C24"/>
    <mergeCell ref="CD7:CD8"/>
    <mergeCell ref="CE7:CE8"/>
    <mergeCell ref="CF7:CF8"/>
    <mergeCell ref="CH7:CH8"/>
    <mergeCell ref="BK7:BK8"/>
    <mergeCell ref="BM7:BM8"/>
    <mergeCell ref="BN7:BN8"/>
    <mergeCell ref="BR7:BR8"/>
    <mergeCell ref="BS7:BS8"/>
    <mergeCell ref="BV7:BV8"/>
    <mergeCell ref="BA7:BA8"/>
    <mergeCell ref="BB7:BB8"/>
    <mergeCell ref="IN7:IN8"/>
    <mergeCell ref="IV7:IV8"/>
    <mergeCell ref="JD7:JD8"/>
    <mergeCell ref="IO7:IO8"/>
    <mergeCell ref="HR7:HR8"/>
    <mergeCell ref="HS7:HS8"/>
    <mergeCell ref="HW7:HW8"/>
    <mergeCell ref="IB7:IB8"/>
    <mergeCell ref="IE7:IE8"/>
    <mergeCell ref="IF7:IF8"/>
    <mergeCell ref="II7:II8"/>
    <mergeCell ref="IJ7:IJ8"/>
    <mergeCell ref="IA7:IA8"/>
    <mergeCell ref="HX7:HX8"/>
    <mergeCell ref="GY7:GY8"/>
    <mergeCell ref="HC7:HC8"/>
    <mergeCell ref="HD7:HD8"/>
    <mergeCell ref="HH7:HH8"/>
    <mergeCell ref="HI7:HI8"/>
    <mergeCell ref="DP7:DP8"/>
    <mergeCell ref="DQ7:DQ8"/>
    <mergeCell ref="CQ7:CQ8"/>
    <mergeCell ref="CR7:CR8"/>
    <mergeCell ref="CV7:CV8"/>
    <mergeCell ref="CW7:CW8"/>
    <mergeCell ref="GB7:GB8"/>
    <mergeCell ref="EC7:EC8"/>
    <mergeCell ref="GC7:GC8"/>
    <mergeCell ref="EO7:EO8"/>
    <mergeCell ref="EP7:EP8"/>
    <mergeCell ref="EZ7:EZ8"/>
    <mergeCell ref="FA7:FA8"/>
    <mergeCell ref="FL7:FL8"/>
    <mergeCell ref="FM7:FM8"/>
    <mergeCell ref="FX7:FX8"/>
    <mergeCell ref="FY7:FY8"/>
    <mergeCell ref="FZ7:FZ8"/>
    <mergeCell ref="GA7:GA8"/>
    <mergeCell ref="HM7:HM8"/>
    <mergeCell ref="HN7:HN8"/>
    <mergeCell ref="ED7:ED8"/>
    <mergeCell ref="CZ7:CZ8"/>
    <mergeCell ref="DA7:DA8"/>
    <mergeCell ref="DB7:DB8"/>
    <mergeCell ref="DG7:DG8"/>
    <mergeCell ref="A4:N4"/>
    <mergeCell ref="A7:A8"/>
    <mergeCell ref="B7:B8"/>
    <mergeCell ref="C7:C8"/>
    <mergeCell ref="D7:H7"/>
    <mergeCell ref="I7:I8"/>
    <mergeCell ref="K7:K8"/>
    <mergeCell ref="M7:M8"/>
    <mergeCell ref="DH7:DH8"/>
    <mergeCell ref="AY7:AY8"/>
    <mergeCell ref="BW7:BW8"/>
    <mergeCell ref="BZ7:BZ8"/>
    <mergeCell ref="CA7:CA8"/>
    <mergeCell ref="CI7:CI8"/>
    <mergeCell ref="CJ7:CJ8"/>
    <mergeCell ref="CL7:CL8"/>
    <mergeCell ref="CM7:CM8"/>
    <mergeCell ref="CN7:CN8"/>
    <mergeCell ref="R7:R8"/>
    <mergeCell ref="S7:S8"/>
    <mergeCell ref="T7:T8"/>
    <mergeCell ref="V7:V8"/>
    <mergeCell ref="W7:W8"/>
    <mergeCell ref="BJ7:BJ8"/>
    <mergeCell ref="AS7:AS8"/>
    <mergeCell ref="AT7:AT8"/>
    <mergeCell ref="AU7:AU8"/>
    <mergeCell ref="AW7:AW8"/>
    <mergeCell ref="AX7:AX8"/>
    <mergeCell ref="BC7:BC8"/>
    <mergeCell ref="BG7:BG8"/>
    <mergeCell ref="BH7:BH8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tabSelected="1" topLeftCell="A4" workbookViewId="0">
      <selection activeCell="H16" sqref="H16"/>
    </sheetView>
  </sheetViews>
  <sheetFormatPr defaultColWidth="8.85546875" defaultRowHeight="15" x14ac:dyDescent="0.25"/>
  <cols>
    <col min="1" max="1" width="19.5703125" style="23" customWidth="1"/>
    <col min="2" max="2" width="30.140625" style="23" customWidth="1"/>
    <col min="3" max="3" width="17.28515625" style="23" customWidth="1"/>
    <col min="4" max="4" width="20.5703125" style="23" customWidth="1"/>
    <col min="5" max="5" width="20.28515625" style="23" customWidth="1"/>
    <col min="6" max="6" width="20.7109375" style="23" customWidth="1"/>
    <col min="7" max="8" width="8.85546875" style="23"/>
    <col min="9" max="9" width="14.7109375" style="23" customWidth="1"/>
    <col min="10" max="10" width="8.85546875" style="23"/>
    <col min="11" max="11" width="12.140625" style="24" customWidth="1"/>
    <col min="12" max="12" width="13.7109375" style="24" customWidth="1"/>
    <col min="13" max="16384" width="8.85546875" style="23"/>
  </cols>
  <sheetData>
    <row r="2" spans="1:20" ht="13.9" hidden="1" x14ac:dyDescent="0.25"/>
    <row r="3" spans="1:20" ht="13.9" hidden="1" x14ac:dyDescent="0.25">
      <c r="T3" s="23" t="s">
        <v>264</v>
      </c>
    </row>
    <row r="4" spans="1:20" ht="22.15" customHeight="1" x14ac:dyDescent="0.25">
      <c r="F4" s="138" t="s">
        <v>611</v>
      </c>
      <c r="G4" s="25"/>
    </row>
    <row r="6" spans="1:20" ht="40.15" customHeight="1" x14ac:dyDescent="0.3">
      <c r="A6" s="277" t="s">
        <v>549</v>
      </c>
      <c r="B6" s="277"/>
      <c r="C6" s="277"/>
      <c r="D6" s="277"/>
      <c r="E6" s="277"/>
      <c r="F6" s="26"/>
      <c r="G6" s="26"/>
      <c r="H6" s="26"/>
      <c r="I6" s="26"/>
      <c r="J6" s="26"/>
      <c r="K6" s="139"/>
      <c r="L6" s="139"/>
      <c r="M6" s="26"/>
      <c r="N6" s="26"/>
      <c r="O6" s="26"/>
      <c r="P6" s="26"/>
      <c r="Q6" s="26"/>
      <c r="R6" s="26"/>
      <c r="S6" s="26"/>
    </row>
    <row r="7" spans="1:20" ht="13.9" x14ac:dyDescent="0.25">
      <c r="T7" s="34"/>
    </row>
    <row r="8" spans="1:20" x14ac:dyDescent="0.25">
      <c r="A8" s="140" t="s">
        <v>265</v>
      </c>
      <c r="G8" s="34"/>
      <c r="H8" s="34"/>
      <c r="I8" s="34"/>
      <c r="J8" s="34"/>
      <c r="T8" s="34"/>
    </row>
    <row r="10" spans="1:20" ht="44.45" customHeight="1" x14ac:dyDescent="0.25">
      <c r="A10" s="271" t="s">
        <v>2</v>
      </c>
      <c r="B10" s="141" t="s">
        <v>8</v>
      </c>
      <c r="C10" s="271" t="s">
        <v>148</v>
      </c>
      <c r="D10" s="271" t="s">
        <v>323</v>
      </c>
      <c r="E10" s="271" t="s">
        <v>420</v>
      </c>
      <c r="F10" s="271" t="s">
        <v>546</v>
      </c>
    </row>
    <row r="11" spans="1:20" ht="59.45" customHeight="1" x14ac:dyDescent="0.25">
      <c r="A11" s="271"/>
      <c r="B11" s="142" t="s">
        <v>266</v>
      </c>
      <c r="C11" s="271"/>
      <c r="D11" s="271"/>
      <c r="E11" s="271"/>
      <c r="F11" s="271"/>
    </row>
    <row r="12" spans="1:20" ht="25.9" customHeight="1" x14ac:dyDescent="0.25">
      <c r="A12" s="143" t="s">
        <v>18</v>
      </c>
      <c r="B12" s="143" t="s">
        <v>18</v>
      </c>
      <c r="C12" s="143" t="s">
        <v>21</v>
      </c>
      <c r="D12" s="143" t="s">
        <v>21</v>
      </c>
      <c r="E12" s="143" t="s">
        <v>21</v>
      </c>
      <c r="F12" s="143" t="s">
        <v>21</v>
      </c>
    </row>
    <row r="13" spans="1:20" ht="70.150000000000006" customHeight="1" x14ac:dyDescent="0.25">
      <c r="A13" s="272" t="s">
        <v>220</v>
      </c>
      <c r="B13" s="147" t="s">
        <v>615</v>
      </c>
      <c r="C13" s="144">
        <f>'прилож.3-ДДТ'!J11</f>
        <v>10236038.4</v>
      </c>
      <c r="D13" s="145">
        <f>C13</f>
        <v>10236038.4</v>
      </c>
      <c r="E13" s="145">
        <f>'прилож.3-ДДТ'!L11</f>
        <v>9113837.9699999988</v>
      </c>
      <c r="F13" s="145">
        <f>'прилож.3-ДДТ'!N11</f>
        <v>9113837.9699999988</v>
      </c>
    </row>
    <row r="14" spans="1:20" ht="55.15" customHeight="1" x14ac:dyDescent="0.25">
      <c r="A14" s="273"/>
      <c r="B14" s="147" t="s">
        <v>222</v>
      </c>
      <c r="C14" s="144">
        <f>'прилож.3-ДДТ'!J12</f>
        <v>10540632.960000001</v>
      </c>
      <c r="D14" s="145">
        <f t="shared" ref="D14:D17" si="0">C14</f>
        <v>10540632.960000001</v>
      </c>
      <c r="E14" s="145">
        <f>'прилож.3-ДДТ'!L12</f>
        <v>9385189.9199999999</v>
      </c>
      <c r="F14" s="145">
        <f>'прилож.3-ДДТ'!N12</f>
        <v>9385189.9199999999</v>
      </c>
    </row>
    <row r="15" spans="1:20" ht="67.900000000000006" customHeight="1" x14ac:dyDescent="0.25">
      <c r="A15" s="273"/>
      <c r="B15" s="147" t="s">
        <v>223</v>
      </c>
      <c r="C15" s="144">
        <f>'прилож.3-ДДТ'!J13</f>
        <v>4360269.0691872006</v>
      </c>
      <c r="D15" s="145">
        <f t="shared" si="0"/>
        <v>4360269.0691872006</v>
      </c>
      <c r="E15" s="145">
        <f>'прилож.3-ДДТ'!L13</f>
        <v>3881210.3119840003</v>
      </c>
      <c r="F15" s="145">
        <f>'прилож.3-ДДТ'!N13</f>
        <v>3881210.3119840003</v>
      </c>
    </row>
    <row r="16" spans="1:20" ht="58.15" customHeight="1" x14ac:dyDescent="0.25">
      <c r="A16" s="273"/>
      <c r="B16" s="147" t="s">
        <v>614</v>
      </c>
      <c r="C16" s="144">
        <f>'прилож.3-ДДТ'!J14</f>
        <v>12045095.279999999</v>
      </c>
      <c r="D16" s="145">
        <f t="shared" si="0"/>
        <v>12045095.279999999</v>
      </c>
      <c r="E16" s="145">
        <f>'прилож.3-ДДТ'!L14</f>
        <v>10724805</v>
      </c>
      <c r="F16" s="145">
        <f>'прилож.3-ДДТ'!N14</f>
        <v>10724805</v>
      </c>
    </row>
    <row r="17" spans="1:12" ht="57.6" customHeight="1" x14ac:dyDescent="0.25">
      <c r="A17" s="273"/>
      <c r="B17" s="147" t="s">
        <v>224</v>
      </c>
      <c r="C17" s="144">
        <f>'прилож.3-ДДТ'!J15</f>
        <v>18352404</v>
      </c>
      <c r="D17" s="145">
        <f t="shared" si="0"/>
        <v>18352404</v>
      </c>
      <c r="E17" s="145">
        <f>'прилож.3-ДДТ'!L15</f>
        <v>16341444</v>
      </c>
      <c r="F17" s="145">
        <f>'прилож.3-ДДТ'!N15</f>
        <v>16341444</v>
      </c>
    </row>
    <row r="18" spans="1:12" ht="59.45" customHeight="1" x14ac:dyDescent="0.25">
      <c r="A18" s="274"/>
      <c r="B18" s="147" t="s">
        <v>267</v>
      </c>
      <c r="C18" s="144">
        <f>'прилож.3-ДДТ'!J16</f>
        <v>7987420.7999999998</v>
      </c>
      <c r="D18" s="145">
        <f>C18</f>
        <v>7987420.7999999998</v>
      </c>
      <c r="E18" s="145">
        <f>'прилож.3-ДДТ'!L16</f>
        <v>7111972.7999999998</v>
      </c>
      <c r="F18" s="145">
        <f>'прилож.3-ДДТ'!N16</f>
        <v>7111972.7999999998</v>
      </c>
    </row>
    <row r="19" spans="1:12" ht="21.6" customHeight="1" x14ac:dyDescent="0.25">
      <c r="A19" s="146" t="s">
        <v>226</v>
      </c>
      <c r="B19" s="63" t="s">
        <v>227</v>
      </c>
      <c r="C19" s="62">
        <f>SUM(C13:C18)</f>
        <v>63521860.509187199</v>
      </c>
      <c r="D19" s="62">
        <f>SUM(D13:D18)</f>
        <v>63521860.509187199</v>
      </c>
      <c r="E19" s="62">
        <f>SUM(E13:E18)</f>
        <v>56558460.001984</v>
      </c>
      <c r="F19" s="62">
        <f>SUM(F13:F18)</f>
        <v>56558460.001984</v>
      </c>
    </row>
    <row r="20" spans="1:12" ht="41.45" customHeight="1" x14ac:dyDescent="0.25">
      <c r="A20" s="174" t="s">
        <v>220</v>
      </c>
      <c r="B20" s="151" t="s">
        <v>229</v>
      </c>
      <c r="C20" s="144">
        <f>'прилож.3-ДДТ'!J18</f>
        <v>383727.68</v>
      </c>
      <c r="D20" s="145">
        <f>C20</f>
        <v>383727.68</v>
      </c>
      <c r="E20" s="145">
        <f>'прилож.3-ДДТ'!L18</f>
        <v>0</v>
      </c>
      <c r="F20" s="145">
        <f>'прилож.3-ДДТ'!N18</f>
        <v>0</v>
      </c>
    </row>
    <row r="21" spans="1:12" ht="22.15" customHeight="1" x14ac:dyDescent="0.25">
      <c r="A21" s="146" t="s">
        <v>231</v>
      </c>
      <c r="B21" s="63" t="s">
        <v>232</v>
      </c>
      <c r="C21" s="62">
        <f>C20</f>
        <v>383727.68</v>
      </c>
      <c r="D21" s="62">
        <f>D20</f>
        <v>383727.68</v>
      </c>
      <c r="E21" s="62">
        <f>E20</f>
        <v>0</v>
      </c>
      <c r="F21" s="62">
        <f>F20</f>
        <v>0</v>
      </c>
      <c r="I21" s="35"/>
      <c r="J21" s="35"/>
      <c r="K21" s="148"/>
      <c r="L21" s="149"/>
    </row>
    <row r="22" spans="1:12" ht="23.45" customHeight="1" x14ac:dyDescent="0.25">
      <c r="A22" s="275" t="s">
        <v>113</v>
      </c>
      <c r="B22" s="276"/>
      <c r="C22" s="62">
        <f>C19+C21</f>
        <v>63905588.189187199</v>
      </c>
      <c r="D22" s="62">
        <f>D19+D21</f>
        <v>63905588.189187199</v>
      </c>
      <c r="E22" s="62">
        <f>E19+E21</f>
        <v>56558460.001984</v>
      </c>
      <c r="F22" s="62">
        <f>F19+F21</f>
        <v>56558460.001984</v>
      </c>
      <c r="I22" s="35"/>
      <c r="J22" s="35"/>
      <c r="K22" s="148"/>
      <c r="L22" s="36"/>
    </row>
    <row r="23" spans="1:12" x14ac:dyDescent="0.25">
      <c r="I23" s="35"/>
      <c r="J23" s="35"/>
      <c r="K23" s="148"/>
      <c r="L23" s="148"/>
    </row>
    <row r="24" spans="1:12" x14ac:dyDescent="0.25">
      <c r="A24" s="23" t="s">
        <v>78</v>
      </c>
      <c r="I24" s="35"/>
      <c r="J24" s="35"/>
      <c r="K24" s="148"/>
      <c r="L24" s="148"/>
    </row>
    <row r="25" spans="1:12" x14ac:dyDescent="0.25">
      <c r="I25" s="150"/>
      <c r="J25" s="35"/>
      <c r="K25" s="35"/>
      <c r="L25" s="148"/>
    </row>
    <row r="26" spans="1:12" x14ac:dyDescent="0.25">
      <c r="F26" s="34"/>
      <c r="I26" s="150"/>
      <c r="J26" s="35"/>
      <c r="K26" s="36"/>
      <c r="L26" s="148"/>
    </row>
    <row r="27" spans="1:12" x14ac:dyDescent="0.25">
      <c r="I27" s="150"/>
      <c r="J27" s="35"/>
      <c r="K27" s="35"/>
      <c r="L27" s="148"/>
    </row>
    <row r="28" spans="1:12" x14ac:dyDescent="0.25">
      <c r="I28" s="35"/>
      <c r="J28" s="35"/>
      <c r="K28" s="35"/>
      <c r="L28" s="148"/>
    </row>
    <row r="29" spans="1:12" x14ac:dyDescent="0.25">
      <c r="I29" s="36"/>
      <c r="J29" s="35"/>
      <c r="K29" s="148"/>
      <c r="L29" s="148"/>
    </row>
    <row r="30" spans="1:12" x14ac:dyDescent="0.25">
      <c r="I30" s="36"/>
      <c r="J30" s="35"/>
      <c r="K30" s="148"/>
      <c r="L30" s="148"/>
    </row>
    <row r="31" spans="1:12" x14ac:dyDescent="0.25">
      <c r="I31" s="36"/>
      <c r="J31" s="35"/>
      <c r="K31" s="148"/>
      <c r="L31" s="148"/>
    </row>
  </sheetData>
  <mergeCells count="8">
    <mergeCell ref="F10:F11"/>
    <mergeCell ref="A13:A18"/>
    <mergeCell ref="A22:B22"/>
    <mergeCell ref="A6:E6"/>
    <mergeCell ref="A10:A11"/>
    <mergeCell ref="C10:C11"/>
    <mergeCell ref="D10:D11"/>
    <mergeCell ref="E10:E11"/>
  </mergeCells>
  <pageMargins left="0.31496062992125984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прилож.3-школы</vt:lpstr>
      <vt:lpstr>прилож.4-школы</vt:lpstr>
      <vt:lpstr>прилож.3-сады</vt:lpstr>
      <vt:lpstr>прилож.4-сады</vt:lpstr>
      <vt:lpstr>прилож.3-ДДТ</vt:lpstr>
      <vt:lpstr>прилож.4-ДДТ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2026-06-09T09:17:00Z</dcterms:modified>
</cp:coreProperties>
</file>